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0 NetSafety\$Submission202211\"/>
    </mc:Choice>
  </mc:AlternateContent>
  <bookViews>
    <workbookView xWindow="0" yWindow="0" windowWidth="28800" windowHeight="12120" tabRatio="881" activeTab="3"/>
  </bookViews>
  <sheets>
    <sheet name="NWAproactive-RuralMotorway" sheetId="1" r:id="rId1"/>
    <sheet name="NWAproactive-UrbanMotorway" sheetId="5" r:id="rId2"/>
    <sheet name="NWAproactive-PrimaryUndivided" sheetId="3" r:id="rId3"/>
    <sheet name="NWAproactive-PrimaryDivided" sheetId="7" r:id="rId4"/>
    <sheet name="LookupTables" sheetId="4" r:id="rId5"/>
    <sheet name="DataValidation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5" l="1"/>
  <c r="H24" i="5"/>
  <c r="H23" i="5"/>
  <c r="P23" i="5" s="1"/>
  <c r="H25" i="1"/>
  <c r="H24" i="1"/>
  <c r="H23" i="1"/>
  <c r="P23" i="1" s="1"/>
  <c r="P25" i="1"/>
  <c r="P24" i="1"/>
  <c r="P25" i="5"/>
  <c r="P24" i="5"/>
  <c r="N3" i="7"/>
  <c r="N3" i="3"/>
  <c r="M21" i="7" l="1"/>
  <c r="M18" i="7"/>
  <c r="G21" i="7"/>
  <c r="M20" i="7"/>
  <c r="G20" i="7"/>
  <c r="G19" i="7"/>
  <c r="G18" i="7"/>
  <c r="G17" i="7"/>
  <c r="G16" i="7"/>
  <c r="M21" i="3"/>
  <c r="M20" i="3"/>
  <c r="M18" i="3"/>
  <c r="G20" i="3"/>
  <c r="G19" i="3"/>
  <c r="G18" i="3"/>
  <c r="G17" i="3"/>
  <c r="G21" i="3"/>
  <c r="G16" i="3"/>
  <c r="M22" i="7"/>
  <c r="N22" i="7" s="1"/>
  <c r="M7" i="7"/>
  <c r="N7" i="7" s="1"/>
  <c r="M6" i="7"/>
  <c r="N6" i="7" s="1"/>
  <c r="N24" i="7"/>
  <c r="N23" i="7"/>
  <c r="M14" i="7"/>
  <c r="G14" i="7"/>
  <c r="D14" i="7"/>
  <c r="M13" i="7"/>
  <c r="G13" i="7"/>
  <c r="D13" i="7"/>
  <c r="M12" i="7"/>
  <c r="G12" i="7"/>
  <c r="D12" i="7"/>
  <c r="M11" i="7"/>
  <c r="G11" i="7"/>
  <c r="D11" i="7"/>
  <c r="H10" i="7"/>
  <c r="M9" i="7"/>
  <c r="N9" i="7" s="1"/>
  <c r="I8" i="7"/>
  <c r="G8" i="7"/>
  <c r="M8" i="7"/>
  <c r="N8" i="7" s="1"/>
  <c r="M22" i="3"/>
  <c r="M19" i="7" l="1"/>
  <c r="M15" i="7" s="1"/>
  <c r="N15" i="7" s="1"/>
  <c r="M19" i="3"/>
  <c r="M15" i="3" s="1"/>
  <c r="N15" i="3" s="1"/>
  <c r="M10" i="7"/>
  <c r="N10" i="7" s="1"/>
  <c r="E26" i="7" s="1"/>
  <c r="G24" i="3"/>
  <c r="M24" i="3"/>
  <c r="N24" i="3" s="1"/>
  <c r="J24" i="3"/>
  <c r="H10" i="3"/>
  <c r="N25" i="3"/>
  <c r="T5" i="7" l="1"/>
  <c r="M14" i="3"/>
  <c r="M13" i="3"/>
  <c r="M12" i="3"/>
  <c r="M11" i="3"/>
  <c r="M10" i="3" l="1"/>
  <c r="N10" i="3" s="1"/>
  <c r="M7" i="3"/>
  <c r="M6" i="3"/>
  <c r="M23" i="5"/>
  <c r="D12" i="5" l="1"/>
  <c r="D21" i="5"/>
  <c r="D20" i="5"/>
  <c r="D19" i="5"/>
  <c r="D18" i="5"/>
  <c r="D17" i="5"/>
  <c r="D16" i="5"/>
  <c r="D15" i="5"/>
  <c r="D14" i="5"/>
  <c r="D13" i="5"/>
  <c r="M4" i="5"/>
  <c r="N4" i="5" s="1"/>
  <c r="N27" i="5"/>
  <c r="N26" i="5"/>
  <c r="G26" i="5"/>
  <c r="M25" i="5"/>
  <c r="F25" i="5"/>
  <c r="D25" i="5"/>
  <c r="M24" i="5"/>
  <c r="F24" i="5"/>
  <c r="D24" i="5"/>
  <c r="F23" i="5"/>
  <c r="D23" i="5"/>
  <c r="M21" i="5"/>
  <c r="I21" i="5"/>
  <c r="G21" i="5"/>
  <c r="F21" i="5"/>
  <c r="M20" i="5"/>
  <c r="I20" i="5"/>
  <c r="G20" i="5"/>
  <c r="F20" i="5"/>
  <c r="M19" i="5"/>
  <c r="I19" i="5"/>
  <c r="G19" i="5"/>
  <c r="F19" i="5"/>
  <c r="M18" i="5"/>
  <c r="I18" i="5"/>
  <c r="G18" i="5"/>
  <c r="F18" i="5"/>
  <c r="M17" i="5"/>
  <c r="I17" i="5"/>
  <c r="G17" i="5"/>
  <c r="F17" i="5"/>
  <c r="M16" i="5"/>
  <c r="I16" i="5"/>
  <c r="G16" i="5"/>
  <c r="F16" i="5"/>
  <c r="M15" i="5"/>
  <c r="I15" i="5"/>
  <c r="G15" i="5"/>
  <c r="F15" i="5"/>
  <c r="M14" i="5"/>
  <c r="I14" i="5"/>
  <c r="G14" i="5"/>
  <c r="F14" i="5"/>
  <c r="M13" i="5"/>
  <c r="I13" i="5"/>
  <c r="G13" i="5"/>
  <c r="F13" i="5"/>
  <c r="M12" i="5"/>
  <c r="M11" i="5" s="1"/>
  <c r="I12" i="5"/>
  <c r="G12" i="5"/>
  <c r="F12" i="5"/>
  <c r="Q10" i="5"/>
  <c r="P10" i="5"/>
  <c r="M10" i="5"/>
  <c r="N10" i="5" s="1"/>
  <c r="Q9" i="5"/>
  <c r="P9" i="5"/>
  <c r="M9" i="5"/>
  <c r="N9" i="5" s="1"/>
  <c r="Q8" i="5"/>
  <c r="M8" i="5" s="1"/>
  <c r="N8" i="5" s="1"/>
  <c r="P8" i="5"/>
  <c r="Q7" i="5"/>
  <c r="P7" i="5"/>
  <c r="M7" i="5" s="1"/>
  <c r="N7" i="5" s="1"/>
  <c r="Q6" i="5"/>
  <c r="P6" i="5"/>
  <c r="N27" i="1"/>
  <c r="M6" i="5" l="1"/>
  <c r="N6" i="5" s="1"/>
  <c r="M22" i="5"/>
  <c r="N22" i="5" s="1"/>
  <c r="E29" i="5" s="1"/>
  <c r="N11" i="5"/>
  <c r="M5" i="5"/>
  <c r="N5" i="5" s="1"/>
  <c r="M24" i="1"/>
  <c r="M25" i="1"/>
  <c r="M23" i="1"/>
  <c r="D12" i="1"/>
  <c r="D21" i="1"/>
  <c r="D20" i="1"/>
  <c r="D19" i="1"/>
  <c r="D18" i="1"/>
  <c r="D17" i="1"/>
  <c r="D16" i="1"/>
  <c r="D15" i="1"/>
  <c r="D14" i="1"/>
  <c r="D13" i="1"/>
  <c r="M10" i="1"/>
  <c r="N10" i="1" s="1"/>
  <c r="M9" i="1"/>
  <c r="N9" i="1" s="1"/>
  <c r="Q6" i="1"/>
  <c r="M6" i="1" s="1"/>
  <c r="Q7" i="1"/>
  <c r="Q8" i="1"/>
  <c r="Q9" i="1"/>
  <c r="Q10" i="1"/>
  <c r="P6" i="1"/>
  <c r="P7" i="1"/>
  <c r="P8" i="1"/>
  <c r="P9" i="1"/>
  <c r="P10" i="1"/>
  <c r="M4" i="1"/>
  <c r="M8" i="1" l="1"/>
  <c r="M7" i="1"/>
  <c r="T3" i="5"/>
  <c r="G14" i="3" l="1"/>
  <c r="G13" i="3"/>
  <c r="D14" i="3"/>
  <c r="D13" i="3"/>
  <c r="G12" i="3"/>
  <c r="G11" i="3"/>
  <c r="D12" i="3"/>
  <c r="D11" i="3"/>
  <c r="N22" i="3" l="1"/>
  <c r="M9" i="3"/>
  <c r="N9" i="3" s="1"/>
  <c r="I8" i="3"/>
  <c r="D25" i="1"/>
  <c r="D24" i="1"/>
  <c r="D23" i="1"/>
  <c r="G8" i="3"/>
  <c r="N7" i="3"/>
  <c r="M8" i="3" l="1"/>
  <c r="N8" i="3" s="1"/>
  <c r="N6" i="3"/>
  <c r="E27" i="3" l="1"/>
  <c r="T5" i="3" s="1"/>
  <c r="G21" i="1"/>
  <c r="G20" i="1"/>
  <c r="G19" i="1"/>
  <c r="G18" i="1"/>
  <c r="G17" i="1"/>
  <c r="G16" i="1"/>
  <c r="G15" i="1"/>
  <c r="G14" i="1"/>
  <c r="G13" i="1"/>
  <c r="F24" i="1" l="1"/>
  <c r="F25" i="1"/>
  <c r="F23" i="1"/>
  <c r="I13" i="1"/>
  <c r="I14" i="1"/>
  <c r="I15" i="1"/>
  <c r="I16" i="1"/>
  <c r="I17" i="1"/>
  <c r="I18" i="1"/>
  <c r="I19" i="1"/>
  <c r="I20" i="1"/>
  <c r="I21" i="1"/>
  <c r="I12" i="1"/>
  <c r="G12" i="1"/>
  <c r="F13" i="1"/>
  <c r="F14" i="1"/>
  <c r="F15" i="1"/>
  <c r="F16" i="1"/>
  <c r="F17" i="1"/>
  <c r="F18" i="1"/>
  <c r="F19" i="1"/>
  <c r="F20" i="1"/>
  <c r="F21" i="1"/>
  <c r="F12" i="1"/>
  <c r="M22" i="1" l="1"/>
  <c r="N22" i="1" s="1"/>
  <c r="N8" i="1" l="1"/>
  <c r="N6" i="1" l="1"/>
  <c r="M5" i="1"/>
  <c r="N5" i="1" s="1"/>
  <c r="G26" i="1"/>
  <c r="N26" i="1"/>
  <c r="N7" i="1" l="1"/>
  <c r="M13" i="1" l="1"/>
  <c r="M14" i="1"/>
  <c r="M15" i="1"/>
  <c r="M16" i="1"/>
  <c r="M17" i="1"/>
  <c r="M18" i="1"/>
  <c r="M19" i="1"/>
  <c r="M20" i="1"/>
  <c r="M21" i="1"/>
  <c r="M12" i="1"/>
  <c r="M11" i="1" l="1"/>
  <c r="N11" i="1" s="1"/>
  <c r="N4" i="1" l="1"/>
  <c r="E29" i="1" l="1"/>
  <c r="T3" i="1" s="1"/>
</calcChain>
</file>

<file path=xl/sharedStrings.xml><?xml version="1.0" encoding="utf-8"?>
<sst xmlns="http://schemas.openxmlformats.org/spreadsheetml/2006/main" count="425" uniqueCount="150">
  <si>
    <t>CMF</t>
  </si>
  <si>
    <t>RF</t>
  </si>
  <si>
    <t>Lane width</t>
  </si>
  <si>
    <t>Curvature</t>
  </si>
  <si>
    <t>Code</t>
  </si>
  <si>
    <t>LW</t>
  </si>
  <si>
    <t>RS</t>
  </si>
  <si>
    <t>CU</t>
  </si>
  <si>
    <t>IC</t>
  </si>
  <si>
    <t>m</t>
  </si>
  <si>
    <t>Roadside</t>
  </si>
  <si>
    <t>no.</t>
  </si>
  <si>
    <t>Value 1</t>
  </si>
  <si>
    <t>Parameter Name</t>
  </si>
  <si>
    <t>Variable 1</t>
  </si>
  <si>
    <t>-</t>
  </si>
  <si>
    <t>yes</t>
  </si>
  <si>
    <t>no</t>
  </si>
  <si>
    <t>Do pedestrians or bicyclists move on or approach the motorway carriegeway?</t>
  </si>
  <si>
    <t>%</t>
  </si>
  <si>
    <t>barrier steel</t>
  </si>
  <si>
    <t>barrier concrete</t>
  </si>
  <si>
    <t>fill/cut slope</t>
  </si>
  <si>
    <t>deep drainage ditch</t>
  </si>
  <si>
    <t>series of rigid obstacles (trees, poles&gt;10cm, etc.)</t>
  </si>
  <si>
    <t>Density of property access points</t>
  </si>
  <si>
    <t>PA</t>
  </si>
  <si>
    <t>JU</t>
  </si>
  <si>
    <t>km/h</t>
  </si>
  <si>
    <t>Average width of all basic lanes:</t>
  </si>
  <si>
    <t>Clear zone width:</t>
  </si>
  <si>
    <t>Type of obstacle:</t>
  </si>
  <si>
    <t>Posted speed limit:</t>
  </si>
  <si>
    <t>Is automated speed enforcement present in the segment?</t>
  </si>
  <si>
    <t>CMF rh</t>
  </si>
  <si>
    <t>CMF cz</t>
  </si>
  <si>
    <t>SM</t>
  </si>
  <si>
    <t>OC</t>
  </si>
  <si>
    <t>Variable 2</t>
  </si>
  <si>
    <t>Value 2</t>
  </si>
  <si>
    <t>Variable 3</t>
  </si>
  <si>
    <t>Value 3</t>
  </si>
  <si>
    <t>% of seg. length:</t>
  </si>
  <si>
    <t>Interchanges</t>
  </si>
  <si>
    <t>/</t>
  </si>
  <si>
    <t>Junctions</t>
  </si>
  <si>
    <t>PB</t>
  </si>
  <si>
    <t>Conflicts between pedestrians/bicyclists and motorized traffic</t>
  </si>
  <si>
    <t>Length of segment:</t>
  </si>
  <si>
    <t>Incident monitoring &amp; user information systems</t>
  </si>
  <si>
    <t>Ramp Spacing (m) (gore to gore length)</t>
  </si>
  <si>
    <t>Passing lanes</t>
  </si>
  <si>
    <t>SW</t>
  </si>
  <si>
    <t>PL</t>
  </si>
  <si>
    <t>in place, high quality, good condition</t>
  </si>
  <si>
    <t>in place, but poor quality or condition</t>
  </si>
  <si>
    <t>critical signs/ markings missing</t>
  </si>
  <si>
    <t>Are there curves with radius less than R=1.000m in the segment?</t>
  </si>
  <si>
    <t>Density of property access points -  both sides of the road added</t>
  </si>
  <si>
    <t>p/km</t>
  </si>
  <si>
    <t>Primary Roads - Density of property access points</t>
  </si>
  <si>
    <t>Density of property access points 
(Points per km - both sides)</t>
  </si>
  <si>
    <t>Roadside Hazard Rating - left side:</t>
  </si>
  <si>
    <t>paved</t>
  </si>
  <si>
    <t>unpaved</t>
  </si>
  <si>
    <t>Shoulder type &amp; width</t>
  </si>
  <si>
    <t>Shoulder width (m)</t>
  </si>
  <si>
    <t>SW ≥ 2,44</t>
  </si>
  <si>
    <t>1,83 ≤ SW &lt; 2,44</t>
  </si>
  <si>
    <t>1,23 ≤ SW &lt; 1,83</t>
  </si>
  <si>
    <t>0,91 ≤ SW &lt; 1,23</t>
  </si>
  <si>
    <t>0,61 ≤ SW &lt; 0,91</t>
  </si>
  <si>
    <t xml:space="preserve">CMF
</t>
  </si>
  <si>
    <t>For VLOOKUP (m)</t>
  </si>
  <si>
    <t>yes, in one direction</t>
  </si>
  <si>
    <t>yes, in both directions</t>
  </si>
  <si>
    <t>Roadside Hazard Rating - right side:</t>
  </si>
  <si>
    <t>no bicycle traffic</t>
  </si>
  <si>
    <t>segregated bicyclist path</t>
  </si>
  <si>
    <t>dedicated bicyclist lane on roadway</t>
  </si>
  <si>
    <t>wide paved shoulder (width &gt; 1m)</t>
  </si>
  <si>
    <t>no facility - bicyclists on traffic lanes or narrow shoulder</t>
  </si>
  <si>
    <t>Presence of junctions in segment:</t>
  </si>
  <si>
    <t>3-leg signalized - no turn lane</t>
  </si>
  <si>
    <t>3-leg signalized - turn lane</t>
  </si>
  <si>
    <t>3-leg unsignalized - turn lane</t>
  </si>
  <si>
    <t>3-leg unsignalized - no turn lane</t>
  </si>
  <si>
    <t>4-leg signalized - turn lanes</t>
  </si>
  <si>
    <t>4-leg signalized - no turn lanes</t>
  </si>
  <si>
    <t>4-leg unsignalized - turn lanes</t>
  </si>
  <si>
    <t>4-leg unsignalized - no turn lanes</t>
  </si>
  <si>
    <t>grade-separated</t>
  </si>
  <si>
    <t>roundabout</t>
  </si>
  <si>
    <t>Junction type</t>
  </si>
  <si>
    <t>CMF Cz</t>
  </si>
  <si>
    <t>CMF RH</t>
  </si>
  <si>
    <t>Are there curves with radius less than R=1.500m in the segment?</t>
  </si>
  <si>
    <t>Rural MWs - Interchange Spacing</t>
  </si>
  <si>
    <t>LxCMF</t>
  </si>
  <si>
    <t>NWA-proactive assessment: RURAL MOTORWAY</t>
  </si>
  <si>
    <t>Is there a traffic operation center or incident monitoring/information system in operation?</t>
  </si>
  <si>
    <t>NWA-proactive Segment Score Estimation:</t>
  </si>
  <si>
    <t>NWA-proactive assessment: URBAN MOTORWAY</t>
  </si>
  <si>
    <t>Are there curves with radius less than R=750m in the segment?</t>
  </si>
  <si>
    <t>Urban MWs - Interchange Spacing</t>
  </si>
  <si>
    <t>NWA-proactive assessment: PRIMARY UNDIVIDED ROAD</t>
  </si>
  <si>
    <t>Common assessment for both directions of travel</t>
  </si>
  <si>
    <t>CMF 1 =</t>
  </si>
  <si>
    <t>CMF 2 =</t>
  </si>
  <si>
    <t>CMF 3 =</t>
  </si>
  <si>
    <t>CMF 4 =</t>
  </si>
  <si>
    <t>Primary Roads - Junctions</t>
  </si>
  <si>
    <t>Signs and markings</t>
  </si>
  <si>
    <t>Signs/ markings rating:</t>
  </si>
  <si>
    <t>Assumed speed:</t>
  </si>
  <si>
    <t>Does the road have more than one basic lane per direction?</t>
  </si>
  <si>
    <t>Segment Length (m)</t>
  </si>
  <si>
    <t>Shoulder type - left side:</t>
  </si>
  <si>
    <t>Shoulder type - right side:</t>
  </si>
  <si>
    <t>Shoulder width - left side:</t>
  </si>
  <si>
    <t>Shoulder width - right side:</t>
  </si>
  <si>
    <t>Undivided PRs - Shoulder paved</t>
  </si>
  <si>
    <t>Undivided PRs - Shoulder unpaved</t>
  </si>
  <si>
    <t>0,00 ≤ SW &lt; 0,61</t>
  </si>
  <si>
    <t>Separate assessment for each direction of travel</t>
  </si>
  <si>
    <t>Roadside Hazard Rating (outer side):</t>
  </si>
  <si>
    <t>Divided PRs - Shoulder paved</t>
  </si>
  <si>
    <t>Divided PRs - Shoulder unpaved</t>
  </si>
  <si>
    <t>Shoulder type - outer side:</t>
  </si>
  <si>
    <t>Shoulder width - outer side:</t>
  </si>
  <si>
    <t>Not applicable in divided roads</t>
  </si>
  <si>
    <t>Density of property access points (on the examined direction of travel):</t>
  </si>
  <si>
    <t>Presence of crossing pedestrian traffic:</t>
  </si>
  <si>
    <t>Facilities for bicyclists - along left side:</t>
  </si>
  <si>
    <t>Facilities for bicyclists - along right side:</t>
  </si>
  <si>
    <t>Facilities for pedestrians - along left side:</t>
  </si>
  <si>
    <t>Facilities for pedestrians - along right side:</t>
  </si>
  <si>
    <t>no pedestrian traffic</t>
  </si>
  <si>
    <t xml:space="preserve">segregated - protected pedestrian path </t>
  </si>
  <si>
    <t>no facility for pedestrians walking along</t>
  </si>
  <si>
    <t>CMF bic =</t>
  </si>
  <si>
    <t>CMF ped =</t>
  </si>
  <si>
    <t>For changing types of pedestrian/ bicyclist facilities along the segment, manual CMF calculation is required</t>
  </si>
  <si>
    <t>CMF ped.cr =</t>
  </si>
  <si>
    <t>CMF ped.al =</t>
  </si>
  <si>
    <t>NWA-proactive assessment: PRIMARY DIVIDED ROAD</t>
  </si>
  <si>
    <t>Facilities for bicyclists - along outer side:</t>
  </si>
  <si>
    <t>Facilities for pedestrians - along outer side:</t>
  </si>
  <si>
    <t>Operation speed (V85) for segment:
(cell value equal to zero if unknown)</t>
  </si>
  <si>
    <t>Are there interchanges with ramp spacing ≤1.600m in the segment, or is the segment between interchanges with ramp spacing ≤1.600m?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</si>
</sst>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4" x14ac:knownFonts="1">
    <font>
      <sz val="12"/>
      <color theme="1"/>
      <name val="Arial Narrow"/>
      <family val="2"/>
      <charset val="161"/>
    </font>
    <font>
      <sz val="12"/>
      <color rgb="FFFF0000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sz val="12"/>
      <color theme="0" tint="-0.14999847407452621"/>
      <name val="Arial Narrow"/>
      <family val="2"/>
      <charset val="161"/>
    </font>
    <font>
      <b/>
      <sz val="14"/>
      <color theme="1"/>
      <name val="Arial Narrow"/>
      <family val="2"/>
      <charset val="161"/>
    </font>
    <font>
      <sz val="14"/>
      <color theme="1"/>
      <name val="Arial Narrow"/>
      <family val="2"/>
      <charset val="161"/>
    </font>
    <font>
      <b/>
      <sz val="12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sz val="12"/>
      <name val="Arial Narrow"/>
      <family val="2"/>
      <charset val="161"/>
    </font>
    <font>
      <b/>
      <sz val="12"/>
      <name val="Arial Narrow"/>
      <family val="2"/>
      <charset val="161"/>
    </font>
    <font>
      <sz val="14"/>
      <color rgb="FFFF0000"/>
      <name val="Arial Narrow"/>
      <family val="2"/>
      <charset val="161"/>
    </font>
    <font>
      <sz val="10"/>
      <color rgb="FFFFFFFF"/>
      <name val="Verdana"/>
      <family val="2"/>
      <charset val="161"/>
    </font>
    <font>
      <sz val="10"/>
      <color theme="1"/>
      <name val="Verdana"/>
      <family val="2"/>
      <charset val="161"/>
    </font>
    <font>
      <sz val="10"/>
      <color theme="1"/>
      <name val="Arial Narrow"/>
      <family val="2"/>
      <charset val="161"/>
    </font>
    <font>
      <b/>
      <sz val="12"/>
      <color theme="0"/>
      <name val="Arial Narrow"/>
      <family val="2"/>
      <charset val="161"/>
    </font>
    <font>
      <sz val="12"/>
      <color theme="0"/>
      <name val="Arial Narrow"/>
      <family val="2"/>
      <charset val="161"/>
    </font>
    <font>
      <sz val="14"/>
      <color theme="0"/>
      <name val="Arial Narrow"/>
      <family val="2"/>
      <charset val="161"/>
    </font>
    <font>
      <i/>
      <sz val="12"/>
      <color rgb="FFFF0000"/>
      <name val="Arial Narrow"/>
      <family val="2"/>
      <charset val="161"/>
    </font>
    <font>
      <sz val="12"/>
      <color theme="0" tint="-0.34998626667073579"/>
      <name val="Arial Narrow"/>
      <family val="2"/>
      <charset val="161"/>
    </font>
    <font>
      <sz val="10"/>
      <color theme="0"/>
      <name val="Arial Narrow"/>
      <family val="2"/>
      <charset val="161"/>
    </font>
    <font>
      <sz val="14"/>
      <name val="Arial Narrow"/>
      <family val="2"/>
      <charset val="161"/>
    </font>
    <font>
      <i/>
      <sz val="12"/>
      <name val="Arial Narrow"/>
      <family val="2"/>
      <charset val="161"/>
    </font>
    <font>
      <i/>
      <sz val="12"/>
      <color theme="0" tint="-0.34998626667073579"/>
      <name val="Arial Narrow"/>
      <family val="2"/>
      <charset val="161"/>
    </font>
    <font>
      <sz val="12"/>
      <color theme="0" tint="-0.249977111117893"/>
      <name val="Arial Narrow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164" fontId="0" fillId="0" borderId="22" xfId="0" applyNumberForma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164" fontId="9" fillId="0" borderId="2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3" borderId="12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11" fillId="5" borderId="43" xfId="0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/>
    </xf>
    <xf numFmtId="164" fontId="12" fillId="6" borderId="4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Continuous"/>
    </xf>
    <xf numFmtId="164" fontId="3" fillId="3" borderId="1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/>
    </xf>
    <xf numFmtId="165" fontId="7" fillId="4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2" fillId="6" borderId="44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/>
    </xf>
    <xf numFmtId="164" fontId="12" fillId="6" borderId="4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12" fillId="6" borderId="44" xfId="0" applyNumberFormat="1" applyFont="1" applyFill="1" applyBorder="1" applyAlignment="1">
      <alignment horizontal="center" vertical="center" wrapText="1"/>
    </xf>
    <xf numFmtId="0" fontId="13" fillId="6" borderId="44" xfId="0" applyFont="1" applyFill="1" applyBorder="1" applyAlignment="1">
      <alignment horizontal="justify" vertical="center" wrapText="1"/>
    </xf>
    <xf numFmtId="0" fontId="0" fillId="3" borderId="23" xfId="0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2" fontId="0" fillId="2" borderId="46" xfId="0" applyNumberFormat="1" applyFill="1" applyBorder="1" applyAlignment="1">
      <alignment horizontal="right" vertical="center"/>
    </xf>
    <xf numFmtId="2" fontId="8" fillId="3" borderId="4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2" fontId="8" fillId="2" borderId="47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2" fontId="8" fillId="2" borderId="50" xfId="0" applyNumberFormat="1" applyFont="1" applyFill="1" applyBorder="1" applyAlignment="1">
      <alignment horizontal="right" vertical="center"/>
    </xf>
    <xf numFmtId="0" fontId="0" fillId="3" borderId="23" xfId="0" applyFill="1" applyBorder="1" applyAlignment="1">
      <alignment horizontal="left" vertical="center" wrapText="1"/>
    </xf>
    <xf numFmtId="2" fontId="0" fillId="3" borderId="46" xfId="0" applyNumberForma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right" vertical="center"/>
    </xf>
    <xf numFmtId="0" fontId="0" fillId="3" borderId="46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51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Continuous" vertical="center"/>
    </xf>
    <xf numFmtId="0" fontId="2" fillId="0" borderId="56" xfId="0" applyFont="1" applyBorder="1" applyAlignment="1">
      <alignment horizontal="centerContinuous" vertical="center"/>
    </xf>
    <xf numFmtId="0" fontId="8" fillId="3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right" vertical="center"/>
    </xf>
    <xf numFmtId="0" fontId="9" fillId="7" borderId="48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left" vertical="center"/>
    </xf>
    <xf numFmtId="0" fontId="12" fillId="6" borderId="44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17" fillId="3" borderId="17" xfId="0" applyNumberFormat="1" applyFont="1" applyFill="1" applyBorder="1" applyAlignment="1">
      <alignment horizontal="left" vertical="center"/>
    </xf>
    <xf numFmtId="0" fontId="1" fillId="3" borderId="5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164" fontId="18" fillId="3" borderId="60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164" fontId="18" fillId="3" borderId="31" xfId="0" applyNumberFormat="1" applyFont="1" applyFill="1" applyBorder="1" applyAlignment="1">
      <alignment horizontal="center" vertical="center"/>
    </xf>
    <xf numFmtId="164" fontId="18" fillId="3" borderId="32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right" vertical="center"/>
    </xf>
    <xf numFmtId="0" fontId="8" fillId="2" borderId="50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3" borderId="49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2" borderId="5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57" xfId="0" applyFont="1" applyFill="1" applyBorder="1" applyAlignment="1">
      <alignment horizontal="left" vertical="center"/>
    </xf>
    <xf numFmtId="0" fontId="1" fillId="3" borderId="58" xfId="0" applyFont="1" applyFill="1" applyBorder="1" applyAlignment="1">
      <alignment horizontal="left" vertical="center"/>
    </xf>
    <xf numFmtId="0" fontId="6" fillId="3" borderId="60" xfId="0" applyFont="1" applyFill="1" applyBorder="1" applyAlignment="1">
      <alignment vertical="center"/>
    </xf>
    <xf numFmtId="3" fontId="8" fillId="2" borderId="53" xfId="0" applyNumberFormat="1" applyFont="1" applyFill="1" applyBorder="1" applyAlignment="1">
      <alignment horizontal="right" vertical="center"/>
    </xf>
    <xf numFmtId="3" fontId="8" fillId="2" borderId="47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right" vertical="center"/>
    </xf>
    <xf numFmtId="0" fontId="3" fillId="3" borderId="59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164" fontId="3" fillId="3" borderId="60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2" fontId="8" fillId="2" borderId="46" xfId="0" applyNumberFormat="1" applyFont="1" applyFill="1" applyBorder="1" applyAlignment="1">
      <alignment horizontal="right" vertical="center"/>
    </xf>
    <xf numFmtId="0" fontId="8" fillId="0" borderId="24" xfId="0" applyFont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 wrapText="1"/>
    </xf>
    <xf numFmtId="2" fontId="8" fillId="3" borderId="46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left" vertical="center"/>
    </xf>
    <xf numFmtId="164" fontId="8" fillId="0" borderId="22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0" fontId="8" fillId="3" borderId="57" xfId="0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 vertical="center"/>
    </xf>
    <xf numFmtId="0" fontId="8" fillId="3" borderId="59" xfId="0" applyFont="1" applyFill="1" applyBorder="1" applyAlignment="1">
      <alignment horizontal="left" vertical="center"/>
    </xf>
    <xf numFmtId="0" fontId="9" fillId="3" borderId="60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vertical="center"/>
    </xf>
    <xf numFmtId="0" fontId="8" fillId="3" borderId="57" xfId="0" applyFont="1" applyFill="1" applyBorder="1" applyAlignment="1">
      <alignment horizontal="left" vertical="center" wrapText="1"/>
    </xf>
    <xf numFmtId="164" fontId="8" fillId="3" borderId="6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164" fontId="8" fillId="3" borderId="1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left" vertical="center" wrapText="1"/>
    </xf>
    <xf numFmtId="164" fontId="8" fillId="3" borderId="3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164" fontId="8" fillId="0" borderId="34" xfId="0" applyNumberFormat="1" applyFont="1" applyFill="1" applyBorder="1" applyAlignment="1">
      <alignment horizontal="center" vertical="center"/>
    </xf>
    <xf numFmtId="164" fontId="9" fillId="0" borderId="37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1" fontId="8" fillId="2" borderId="48" xfId="0" applyNumberFormat="1" applyFont="1" applyFill="1" applyBorder="1" applyAlignment="1">
      <alignment horizontal="right" vertical="center"/>
    </xf>
    <xf numFmtId="164" fontId="8" fillId="0" borderId="34" xfId="0" applyNumberFormat="1" applyFont="1" applyBorder="1" applyAlignment="1">
      <alignment horizontal="center" vertical="center"/>
    </xf>
    <xf numFmtId="2" fontId="8" fillId="3" borderId="48" xfId="0" applyNumberFormat="1" applyFont="1" applyFill="1" applyBorder="1" applyAlignment="1">
      <alignment horizontal="right" vertical="center"/>
    </xf>
    <xf numFmtId="0" fontId="1" fillId="3" borderId="31" xfId="0" applyFont="1" applyFill="1" applyBorder="1" applyAlignment="1">
      <alignment vertical="top" wrapText="1"/>
    </xf>
    <xf numFmtId="0" fontId="1" fillId="3" borderId="51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164" fontId="6" fillId="3" borderId="32" xfId="0" applyNumberFormat="1" applyFont="1" applyFill="1" applyBorder="1" applyAlignment="1">
      <alignment horizontal="center" vertical="center"/>
    </xf>
    <xf numFmtId="0" fontId="1" fillId="0" borderId="0" xfId="0" applyFont="1"/>
    <xf numFmtId="0" fontId="8" fillId="3" borderId="11" xfId="0" applyFont="1" applyFill="1" applyBorder="1" applyAlignment="1">
      <alignment horizontal="center" vertical="center"/>
    </xf>
    <xf numFmtId="164" fontId="21" fillId="3" borderId="17" xfId="0" applyNumberFormat="1" applyFont="1" applyFill="1" applyBorder="1" applyAlignment="1">
      <alignment horizontal="left" vertical="center"/>
    </xf>
    <xf numFmtId="164" fontId="21" fillId="3" borderId="32" xfId="0" applyNumberFormat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18" fillId="3" borderId="47" xfId="0" applyFont="1" applyFill="1" applyBorder="1" applyAlignment="1">
      <alignment horizontal="center" vertical="center"/>
    </xf>
    <xf numFmtId="164" fontId="22" fillId="3" borderId="2" xfId="0" applyNumberFormat="1" applyFont="1" applyFill="1" applyBorder="1" applyAlignment="1">
      <alignment horizontal="right" vertical="center"/>
    </xf>
    <xf numFmtId="164" fontId="22" fillId="3" borderId="2" xfId="0" applyNumberFormat="1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164" fontId="22" fillId="3" borderId="62" xfId="0" applyNumberFormat="1" applyFont="1" applyFill="1" applyBorder="1" applyAlignment="1">
      <alignment horizontal="right" vertical="center"/>
    </xf>
    <xf numFmtId="164" fontId="22" fillId="3" borderId="62" xfId="0" applyNumberFormat="1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3" fontId="8" fillId="2" borderId="35" xfId="0" applyNumberFormat="1" applyFont="1" applyFill="1" applyBorder="1" applyAlignment="1">
      <alignment horizontal="right" vertical="center"/>
    </xf>
    <xf numFmtId="3" fontId="8" fillId="2" borderId="49" xfId="0" applyNumberFormat="1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right" vertical="center"/>
    </xf>
    <xf numFmtId="164" fontId="9" fillId="0" borderId="6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2" borderId="49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vertical="center" wrapText="1"/>
    </xf>
    <xf numFmtId="0" fontId="8" fillId="3" borderId="62" xfId="0" applyFont="1" applyFill="1" applyBorder="1" applyAlignment="1">
      <alignment horizontal="center" vertical="center"/>
    </xf>
    <xf numFmtId="2" fontId="8" fillId="3" borderId="62" xfId="0" applyNumberFormat="1" applyFont="1" applyFill="1" applyBorder="1" applyAlignment="1">
      <alignment horizontal="center" vertical="center"/>
    </xf>
    <xf numFmtId="164" fontId="9" fillId="3" borderId="64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2" fontId="8" fillId="2" borderId="48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right" vertical="center"/>
    </xf>
    <xf numFmtId="164" fontId="8" fillId="0" borderId="31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21" fillId="0" borderId="28" xfId="0" applyFont="1" applyFill="1" applyBorder="1" applyAlignment="1">
      <alignment horizontal="left" vertical="center" wrapText="1"/>
    </xf>
    <xf numFmtId="164" fontId="8" fillId="3" borderId="10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164" fontId="17" fillId="3" borderId="1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22" fillId="3" borderId="10" xfId="0" applyNumberFormat="1" applyFont="1" applyFill="1" applyBorder="1" applyAlignment="1">
      <alignment horizontal="right" vertical="center"/>
    </xf>
    <xf numFmtId="164" fontId="22" fillId="3" borderId="10" xfId="0" applyNumberFormat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2" fontId="8" fillId="3" borderId="39" xfId="0" applyNumberFormat="1" applyFont="1" applyFill="1" applyBorder="1" applyAlignment="1">
      <alignment horizontal="center" vertical="center"/>
    </xf>
    <xf numFmtId="164" fontId="9" fillId="0" borderId="42" xfId="0" applyNumberFormat="1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164" fontId="23" fillId="3" borderId="9" xfId="0" applyNumberFormat="1" applyFont="1" applyFill="1" applyBorder="1" applyAlignment="1">
      <alignment horizontal="center" vertical="center"/>
    </xf>
    <xf numFmtId="164" fontId="23" fillId="3" borderId="10" xfId="0" applyNumberFormat="1" applyFont="1" applyFill="1" applyBorder="1" applyAlignment="1">
      <alignment horizontal="center" vertical="center"/>
    </xf>
    <xf numFmtId="164" fontId="23" fillId="3" borderId="31" xfId="0" applyNumberFormat="1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2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4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1" fillId="3" borderId="1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405848</xdr:colOff>
      <xdr:row>18</xdr:row>
      <xdr:rowOff>33130</xdr:rowOff>
    </xdr:from>
    <xdr:ext cx="184731" cy="264560"/>
    <xdr:sp macro="" textlink="">
      <xdr:nvSpPr>
        <xdr:cNvPr id="2" name="TextBox 1"/>
        <xdr:cNvSpPr txBox="1"/>
      </xdr:nvSpPr>
      <xdr:spPr>
        <a:xfrm>
          <a:off x="12937435" y="4207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7"/>
  <sheetViews>
    <sheetView showGridLines="0" zoomScale="85" zoomScaleNormal="85" workbookViewId="0">
      <pane ySplit="3" topLeftCell="A4" activePane="bottomLeft" state="frozen"/>
      <selection pane="bottomLeft" activeCell="R26" sqref="R26"/>
    </sheetView>
  </sheetViews>
  <sheetFormatPr defaultColWidth="8.85546875" defaultRowHeight="15.75" x14ac:dyDescent="0.25"/>
  <cols>
    <col min="1" max="1" width="3.28515625" style="1" customWidth="1"/>
    <col min="2" max="2" width="22.28515625" style="1" customWidth="1"/>
    <col min="3" max="3" width="5.5703125" style="1" bestFit="1" customWidth="1"/>
    <col min="4" max="4" width="30.85546875" style="1" customWidth="1"/>
    <col min="5" max="5" width="7.5703125" style="1" customWidth="1"/>
    <col min="6" max="6" width="3.85546875" style="1" customWidth="1"/>
    <col min="7" max="7" width="33" style="1" customWidth="1"/>
    <col min="8" max="8" width="16.42578125" style="1" customWidth="1"/>
    <col min="9" max="9" width="3.85546875" style="1" customWidth="1"/>
    <col min="10" max="10" width="16" style="1" bestFit="1" customWidth="1"/>
    <col min="11" max="12" width="3.85546875" style="1" customWidth="1"/>
    <col min="13" max="13" width="11.7109375" style="1" customWidth="1"/>
    <col min="14" max="14" width="12.42578125" style="1" customWidth="1"/>
    <col min="15" max="15" width="2.28515625" style="4" customWidth="1"/>
    <col min="16" max="18" width="8" style="96" bestFit="1" customWidth="1"/>
    <col min="19" max="19" width="6" style="97" customWidth="1"/>
    <col min="20" max="20" width="4.5703125" style="97" bestFit="1" customWidth="1"/>
    <col min="21" max="21" width="1.5703125" style="4" bestFit="1" customWidth="1"/>
    <col min="22" max="22" width="4" style="4" bestFit="1" customWidth="1"/>
    <col min="23" max="25" width="8.85546875" style="4"/>
    <col min="26" max="16384" width="8.85546875" style="1"/>
  </cols>
  <sheetData>
    <row r="1" spans="1:25" x14ac:dyDescent="0.25">
      <c r="A1" s="8" t="s">
        <v>99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5" ht="16.5" thickBot="1" x14ac:dyDescent="0.3">
      <c r="A2" s="8"/>
      <c r="B2" s="146" t="s">
        <v>124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5" s="2" customFormat="1" ht="16.5" thickBot="1" x14ac:dyDescent="0.3">
      <c r="A3" s="10" t="s">
        <v>11</v>
      </c>
      <c r="B3" s="11" t="s">
        <v>13</v>
      </c>
      <c r="C3" s="11" t="s">
        <v>4</v>
      </c>
      <c r="D3" s="89" t="s">
        <v>14</v>
      </c>
      <c r="E3" s="90" t="s">
        <v>12</v>
      </c>
      <c r="F3" s="91"/>
      <c r="G3" s="89" t="s">
        <v>38</v>
      </c>
      <c r="H3" s="90" t="s">
        <v>39</v>
      </c>
      <c r="I3" s="91"/>
      <c r="J3" s="89" t="s">
        <v>40</v>
      </c>
      <c r="K3" s="90" t="s">
        <v>41</v>
      </c>
      <c r="L3" s="91"/>
      <c r="M3" s="11" t="s">
        <v>0</v>
      </c>
      <c r="N3" s="12" t="s">
        <v>1</v>
      </c>
      <c r="O3" s="37"/>
      <c r="P3" s="98" t="s">
        <v>35</v>
      </c>
      <c r="Q3" s="98" t="s">
        <v>34</v>
      </c>
      <c r="R3" s="98" t="s">
        <v>0</v>
      </c>
      <c r="S3" s="98"/>
      <c r="T3" s="107">
        <f>E29</f>
        <v>85.852707797896841</v>
      </c>
      <c r="U3" s="108" t="s">
        <v>44</v>
      </c>
      <c r="V3" s="109">
        <v>100</v>
      </c>
      <c r="W3" s="37"/>
      <c r="X3" s="37"/>
      <c r="Y3" s="37"/>
    </row>
    <row r="4" spans="1:25" x14ac:dyDescent="0.25">
      <c r="A4" s="17">
        <v>1</v>
      </c>
      <c r="B4" s="18" t="s">
        <v>2</v>
      </c>
      <c r="C4" s="19" t="s">
        <v>5</v>
      </c>
      <c r="D4" s="74" t="s">
        <v>29</v>
      </c>
      <c r="E4" s="75">
        <v>3.45</v>
      </c>
      <c r="F4" s="20" t="s">
        <v>9</v>
      </c>
      <c r="G4" s="81"/>
      <c r="H4" s="82"/>
      <c r="I4" s="21"/>
      <c r="J4" s="71"/>
      <c r="K4" s="86"/>
      <c r="L4" s="21"/>
      <c r="M4" s="22">
        <f>IF(E4&gt;=3.4,1,IF(E4&gt;=3.15,1.025,1.05))</f>
        <v>1</v>
      </c>
      <c r="N4" s="23">
        <f>1/M4</f>
        <v>1</v>
      </c>
      <c r="P4" s="123"/>
    </row>
    <row r="5" spans="1:25" s="4" customFormat="1" x14ac:dyDescent="0.25">
      <c r="A5" s="24">
        <v>2</v>
      </c>
      <c r="B5" s="25" t="s">
        <v>10</v>
      </c>
      <c r="C5" s="26" t="s">
        <v>6</v>
      </c>
      <c r="D5" s="50"/>
      <c r="E5" s="76"/>
      <c r="F5" s="27"/>
      <c r="G5" s="50"/>
      <c r="H5" s="328"/>
      <c r="I5" s="329"/>
      <c r="J5" s="50"/>
      <c r="K5" s="111"/>
      <c r="L5" s="112"/>
      <c r="M5" s="124">
        <f>IF(SUM(K6:K10)&lt;100,"check lengths",IF(SUM(K6:K10)&gt;100,"",K6/100*M6+K7/100*M7+K8/100*M8+K9/100*M9+K10/100*M10))</f>
        <v>1.119963543805</v>
      </c>
      <c r="N5" s="28">
        <f>1/M5</f>
        <v>0.89288620645862093</v>
      </c>
      <c r="P5" s="125" t="s">
        <v>94</v>
      </c>
      <c r="Q5" s="125" t="s">
        <v>95</v>
      </c>
      <c r="R5" s="125"/>
      <c r="S5" s="38"/>
      <c r="T5" s="38"/>
    </row>
    <row r="6" spans="1:25" s="4" customFormat="1" x14ac:dyDescent="0.25">
      <c r="A6" s="14"/>
      <c r="B6" s="15"/>
      <c r="C6" s="16"/>
      <c r="D6" s="77" t="s">
        <v>30</v>
      </c>
      <c r="E6" s="78">
        <v>4.5</v>
      </c>
      <c r="F6" s="13" t="s">
        <v>9</v>
      </c>
      <c r="G6" s="77" t="s">
        <v>31</v>
      </c>
      <c r="H6" s="330" t="s">
        <v>20</v>
      </c>
      <c r="I6" s="331"/>
      <c r="J6" s="77" t="s">
        <v>42</v>
      </c>
      <c r="K6" s="135">
        <v>85</v>
      </c>
      <c r="L6" s="13" t="s">
        <v>19</v>
      </c>
      <c r="M6" s="129">
        <f>IF(K6&gt;0,1-(1-(1-(1-P6*Q6)*(0.567)))*(0.291),0)</f>
        <v>1.0412492499999999</v>
      </c>
      <c r="N6" s="130">
        <f>IF(M6="n/a",0,1/M6)</f>
        <v>0.96038484541525493</v>
      </c>
      <c r="P6" s="99">
        <f>IF(E6&lt;1,10,IF(E6&lt;2,5,IF(E6&lt;3,1.5,IF(E6&lt;5,1.25,IF(E6&lt;7.5,1.1,IF(E6&lt;10,1.05,1))))))</f>
        <v>1.25</v>
      </c>
      <c r="Q6" s="99">
        <f>IF(E6&gt;=10,1,IF(H6="barrier steel",1,IF(H6="barrier concrete",IF(E6&gt;=5,1,1.25),IF(H6="series of rigid obstacles (trees, poles&gt;10cm, etc.)",5,IF(H6="fill/cut slope",3.75,IF(H6="deep drainage ditch",4.583))))))</f>
        <v>1</v>
      </c>
      <c r="R6" s="99"/>
      <c r="S6" s="38"/>
      <c r="T6" s="38"/>
    </row>
    <row r="7" spans="1:25" s="4" customFormat="1" x14ac:dyDescent="0.25">
      <c r="A7" s="92"/>
      <c r="B7" s="102"/>
      <c r="C7" s="103"/>
      <c r="D7" s="77" t="s">
        <v>30</v>
      </c>
      <c r="E7" s="78">
        <v>6</v>
      </c>
      <c r="F7" s="13" t="s">
        <v>9</v>
      </c>
      <c r="G7" s="77" t="s">
        <v>31</v>
      </c>
      <c r="H7" s="330" t="s">
        <v>23</v>
      </c>
      <c r="I7" s="331"/>
      <c r="J7" s="77" t="s">
        <v>42</v>
      </c>
      <c r="K7" s="135">
        <v>5</v>
      </c>
      <c r="L7" s="13" t="s">
        <v>19</v>
      </c>
      <c r="M7" s="131">
        <f>IF(K7&gt;0,1-(1-(1-(1-P7*Q7)*(0.567)))*(0.291),0)</f>
        <v>1.6668023761000001</v>
      </c>
      <c r="N7" s="132">
        <f>IF(M7="n/a",0,1/M7)</f>
        <v>0.59995114858175891</v>
      </c>
      <c r="P7" s="99">
        <f>IF(E7&lt;1,10,IF(E7&lt;2,5,IF(E7&lt;3,1.5,IF(E7&lt;5,1.25,IF(E7&lt;7.5,1.1,IF(E7&lt;10,1.05,1))))))</f>
        <v>1.1000000000000001</v>
      </c>
      <c r="Q7" s="99">
        <f>IF(E7&gt;=10,1,IF(H7="barrier steel",1,IF(H7="barrier concrete",IF(E7&gt;=5,1,1.25),IF(H7="series of rigid obstacles (trees, poles&gt;10cm, etc.)",5,IF(H7="fill/cut slope",3.75,IF(H7="deep drainage ditch",4.583))))))</f>
        <v>4.5830000000000002</v>
      </c>
      <c r="R7" s="99"/>
      <c r="S7" s="38"/>
      <c r="T7" s="38"/>
    </row>
    <row r="8" spans="1:25" s="4" customFormat="1" x14ac:dyDescent="0.25">
      <c r="A8" s="92"/>
      <c r="B8" s="102"/>
      <c r="C8" s="103"/>
      <c r="D8" s="77" t="s">
        <v>30</v>
      </c>
      <c r="E8" s="78">
        <v>6</v>
      </c>
      <c r="F8" s="13" t="s">
        <v>9</v>
      </c>
      <c r="G8" s="77" t="s">
        <v>31</v>
      </c>
      <c r="H8" s="330" t="s">
        <v>22</v>
      </c>
      <c r="I8" s="331"/>
      <c r="J8" s="77" t="s">
        <v>42</v>
      </c>
      <c r="K8" s="135">
        <v>10</v>
      </c>
      <c r="L8" s="13" t="s">
        <v>19</v>
      </c>
      <c r="M8" s="131">
        <f>IF(K8&gt;0,1-(1-(1-(1-P8*Q8)*(0.567)))*(0.291),0)</f>
        <v>1.5156156249999999</v>
      </c>
      <c r="N8" s="132">
        <f t="shared" ref="N8" si="0">IF(M8="n/a",0,1/M8)</f>
        <v>0.65979789565708657</v>
      </c>
      <c r="P8" s="99">
        <f>IF(E8&lt;1,10,IF(E8&lt;2,5,IF(E8&lt;3,1.5,IF(E8&lt;5,1.25,IF(E8&lt;7.5,1.1,IF(E8&lt;10,1.05,1))))))</f>
        <v>1.1000000000000001</v>
      </c>
      <c r="Q8" s="99">
        <f>IF(E8&gt;=10,1,IF(H8="barrier steel",1,IF(H8="barrier concrete",IF(E8&gt;=5,1,1.25),IF(H8="series of rigid obstacles (trees, poles&gt;10cm, etc.)",5,IF(H8="fill/cut slope",3.75,IF(H8="deep drainage ditch",4.583))))))</f>
        <v>3.75</v>
      </c>
      <c r="R8" s="99"/>
      <c r="S8" s="38"/>
      <c r="T8" s="38"/>
    </row>
    <row r="9" spans="1:25" s="4" customFormat="1" x14ac:dyDescent="0.25">
      <c r="A9" s="92"/>
      <c r="B9" s="102"/>
      <c r="C9" s="103"/>
      <c r="D9" s="77" t="s">
        <v>30</v>
      </c>
      <c r="E9" s="78"/>
      <c r="F9" s="13" t="s">
        <v>9</v>
      </c>
      <c r="G9" s="77" t="s">
        <v>31</v>
      </c>
      <c r="H9" s="330"/>
      <c r="I9" s="331"/>
      <c r="J9" s="77" t="s">
        <v>42</v>
      </c>
      <c r="K9" s="135"/>
      <c r="L9" s="13" t="s">
        <v>19</v>
      </c>
      <c r="M9" s="131">
        <f>IF(K9&gt;0,1-(1-(1-(1-P9*Q9)*(0.567)))*(0.291),0)</f>
        <v>0</v>
      </c>
      <c r="N9" s="132" t="str">
        <f>IF(M9=0,"n/a",1/M9)</f>
        <v>n/a</v>
      </c>
      <c r="P9" s="99">
        <f>IF(E9&lt;1,10,IF(E9&lt;2,5,IF(E9&lt;3,1.5,IF(E9&lt;5,1.25,IF(E9&lt;7.5,1.1,IF(E9&lt;10,1.05,1))))))</f>
        <v>10</v>
      </c>
      <c r="Q9" s="99" t="b">
        <f>IF(E9&gt;=10,1,IF(H9="barrier steel",1,IF(H9="barrier concrete",IF(E9&gt;=5,1,1.25),IF(H9="series of rigid obstacles (trees, poles&gt;10cm, etc.)",5,IF(H9="fill/cut slope",3.75,IF(H9="deep drainage ditch",4.583))))))</f>
        <v>0</v>
      </c>
      <c r="R9" s="99"/>
      <c r="S9" s="38"/>
      <c r="T9" s="38"/>
    </row>
    <row r="10" spans="1:25" s="4" customFormat="1" x14ac:dyDescent="0.25">
      <c r="A10" s="126"/>
      <c r="B10" s="127"/>
      <c r="C10" s="128"/>
      <c r="D10" s="79" t="s">
        <v>30</v>
      </c>
      <c r="E10" s="80"/>
      <c r="F10" s="29" t="s">
        <v>9</v>
      </c>
      <c r="G10" s="79" t="s">
        <v>31</v>
      </c>
      <c r="H10" s="326"/>
      <c r="I10" s="327"/>
      <c r="J10" s="79" t="s">
        <v>42</v>
      </c>
      <c r="K10" s="136"/>
      <c r="L10" s="29" t="s">
        <v>19</v>
      </c>
      <c r="M10" s="133">
        <f>IF(K10&gt;0,1-(1-(1-(1-P10*Q10)*(0.567)))*(0.291),0)</f>
        <v>0</v>
      </c>
      <c r="N10" s="134" t="str">
        <f>IF(M10=0,"n/a",1/M10)</f>
        <v>n/a</v>
      </c>
      <c r="P10" s="99">
        <f>IF(E10&lt;1,10,IF(E10&lt;2,5,IF(E10&lt;3,1.5,IF(E10&lt;5,1.25,IF(E10&lt;7.5,1.1,IF(E10&lt;10,1.05,1))))))</f>
        <v>10</v>
      </c>
      <c r="Q10" s="99" t="b">
        <f>IF(E10&gt;=10,1,IF(H10="barrier steel",1,IF(H10="barrier concrete",IF(E10&gt;=5,1,1.25),IF(H10="series of rigid obstacles (trees, poles&gt;10cm, etc.)",5,IF(H10="fill/cut slope",3.75,IF(H10="deep drainage ditch",4.583))))))</f>
        <v>0</v>
      </c>
      <c r="R10" s="99"/>
      <c r="S10" s="38"/>
      <c r="T10" s="38"/>
    </row>
    <row r="11" spans="1:25" s="4" customFormat="1" ht="31.5" x14ac:dyDescent="0.25">
      <c r="A11" s="24">
        <v>3</v>
      </c>
      <c r="B11" s="25" t="s">
        <v>3</v>
      </c>
      <c r="C11" s="26" t="s">
        <v>7</v>
      </c>
      <c r="D11" s="137" t="s">
        <v>96</v>
      </c>
      <c r="E11" s="322" t="s">
        <v>16</v>
      </c>
      <c r="F11" s="323"/>
      <c r="G11" s="50"/>
      <c r="H11" s="138"/>
      <c r="I11" s="27"/>
      <c r="J11" s="139"/>
      <c r="K11" s="140"/>
      <c r="L11" s="27"/>
      <c r="M11" s="141">
        <f>IF(SUM(H12:H21)&gt;100,"check %",IF(E11="no",1,1+0.03312*SUM(M12:M21)))</f>
        <v>1.0221336795838032</v>
      </c>
      <c r="N11" s="28">
        <f>1/M11</f>
        <v>0.97834561170823009</v>
      </c>
      <c r="P11" s="123"/>
      <c r="Q11" s="5"/>
      <c r="R11" s="5"/>
      <c r="S11" s="38"/>
      <c r="T11" s="38"/>
    </row>
    <row r="12" spans="1:25" s="4" customFormat="1" ht="15.75" customHeight="1" x14ac:dyDescent="0.25">
      <c r="A12" s="92"/>
      <c r="B12" s="102"/>
      <c r="C12" s="103"/>
      <c r="D12" s="142" t="str">
        <f>IF($E$11="yes","Radius of curve n.1 (R&lt;1.500m):","")</f>
        <v>Radius of curve n.1 (R&lt;1.500m):</v>
      </c>
      <c r="E12" s="150">
        <v>1450</v>
      </c>
      <c r="F12" s="144" t="str">
        <f>IF($E$11="yes","m","")</f>
        <v>m</v>
      </c>
      <c r="G12" s="142" t="str">
        <f>IF($E$11="yes","% of segment length within curve n.1:","")</f>
        <v>% of segment length within curve n.1:</v>
      </c>
      <c r="H12" s="143">
        <v>20</v>
      </c>
      <c r="I12" s="62" t="str">
        <f>IF($E$11="yes","%","")</f>
        <v>%</v>
      </c>
      <c r="J12" s="147"/>
      <c r="K12" s="148"/>
      <c r="L12" s="118"/>
      <c r="M12" s="129">
        <f>IF(E12&gt;0,(1746.5/E12)^2*(H12/100),0)</f>
        <v>0.29015574316290133</v>
      </c>
      <c r="N12" s="149"/>
      <c r="P12" s="5"/>
      <c r="Q12" s="5"/>
      <c r="R12" s="5"/>
      <c r="S12" s="38"/>
      <c r="T12" s="38"/>
    </row>
    <row r="13" spans="1:25" s="4" customFormat="1" ht="15.75" customHeight="1" x14ac:dyDescent="0.25">
      <c r="A13" s="92"/>
      <c r="B13" s="102"/>
      <c r="C13" s="103"/>
      <c r="D13" s="77" t="str">
        <f>IF($E$11="yes","Radius of curve n.2 (R&lt;1.500m):","")</f>
        <v>Radius of curve n.2 (R&lt;1.500m):</v>
      </c>
      <c r="E13" s="151">
        <v>1100</v>
      </c>
      <c r="F13" s="62" t="str">
        <f t="shared" ref="F13:F21" si="1">IF($E$11="yes","m","")</f>
        <v>m</v>
      </c>
      <c r="G13" s="77" t="str">
        <f>IF($E$11="yes","% of segment length within curve n.2:","")</f>
        <v>% of segment length within curve n.2:</v>
      </c>
      <c r="H13" s="135">
        <v>15</v>
      </c>
      <c r="I13" s="62" t="str">
        <f t="shared" ref="I13:I21" si="2">IF($E$11="yes","%","")</f>
        <v>%</v>
      </c>
      <c r="J13" s="72"/>
      <c r="K13" s="87"/>
      <c r="L13" s="40"/>
      <c r="M13" s="131">
        <f t="shared" ref="M13:M21" si="3">IF(E13&gt;0,(1746.5/E13)^2*(H13/100),0)</f>
        <v>0.37813168388429746</v>
      </c>
      <c r="N13" s="42"/>
      <c r="P13" s="5"/>
      <c r="Q13" s="5"/>
      <c r="R13" s="5"/>
      <c r="S13" s="38"/>
      <c r="T13" s="38"/>
    </row>
    <row r="14" spans="1:25" s="4" customFormat="1" ht="15.75" customHeight="1" x14ac:dyDescent="0.25">
      <c r="A14" s="92"/>
      <c r="B14" s="102"/>
      <c r="C14" s="103"/>
      <c r="D14" s="77" t="str">
        <f>IF($E$11="yes","Radius of curve n.3 (R&lt;1.500m):","")</f>
        <v>Radius of curve n.3 (R&lt;1.500m):</v>
      </c>
      <c r="E14" s="151"/>
      <c r="F14" s="62" t="str">
        <f t="shared" si="1"/>
        <v>m</v>
      </c>
      <c r="G14" s="77" t="str">
        <f>IF($E$11="yes","% of segment length within curve n.3:","")</f>
        <v>% of segment length within curve n.3:</v>
      </c>
      <c r="H14" s="135"/>
      <c r="I14" s="62" t="str">
        <f t="shared" si="2"/>
        <v>%</v>
      </c>
      <c r="J14" s="72"/>
      <c r="K14" s="87"/>
      <c r="L14" s="40"/>
      <c r="M14" s="131">
        <f t="shared" si="3"/>
        <v>0</v>
      </c>
      <c r="N14" s="42"/>
      <c r="P14" s="5"/>
      <c r="Q14" s="5"/>
      <c r="R14" s="5"/>
      <c r="S14" s="38"/>
      <c r="T14" s="38"/>
    </row>
    <row r="15" spans="1:25" s="4" customFormat="1" ht="15.75" customHeight="1" x14ac:dyDescent="0.25">
      <c r="A15" s="92"/>
      <c r="B15" s="102"/>
      <c r="C15" s="103"/>
      <c r="D15" s="77" t="str">
        <f>IF($E$11="yes","Radius of curve n.4 (R&lt;1.500m):","")</f>
        <v>Radius of curve n.4 (R&lt;1.500m):</v>
      </c>
      <c r="E15" s="151"/>
      <c r="F15" s="62" t="str">
        <f t="shared" si="1"/>
        <v>m</v>
      </c>
      <c r="G15" s="77" t="str">
        <f>IF($E$11="yes","% of segment length within curve n.4:","")</f>
        <v>% of segment length within curve n.4:</v>
      </c>
      <c r="H15" s="135"/>
      <c r="I15" s="62" t="str">
        <f t="shared" si="2"/>
        <v>%</v>
      </c>
      <c r="J15" s="72"/>
      <c r="K15" s="87"/>
      <c r="L15" s="40"/>
      <c r="M15" s="131">
        <f t="shared" si="3"/>
        <v>0</v>
      </c>
      <c r="N15" s="42"/>
      <c r="P15" s="5"/>
      <c r="Q15" s="5"/>
      <c r="R15" s="5"/>
      <c r="S15" s="38"/>
      <c r="T15" s="38"/>
    </row>
    <row r="16" spans="1:25" s="4" customFormat="1" ht="15.75" customHeight="1" x14ac:dyDescent="0.25">
      <c r="A16" s="92"/>
      <c r="B16" s="102"/>
      <c r="C16" s="103"/>
      <c r="D16" s="77" t="str">
        <f>IF($E$11="yes","Radius of curve n.5 (R&lt;1.500m):","")</f>
        <v>Radius of curve n.5 (R&lt;1.500m):</v>
      </c>
      <c r="E16" s="151"/>
      <c r="F16" s="62" t="str">
        <f t="shared" si="1"/>
        <v>m</v>
      </c>
      <c r="G16" s="77" t="str">
        <f>IF($E$11="yes","% of segment length within curve n.5:","")</f>
        <v>% of segment length within curve n.5:</v>
      </c>
      <c r="H16" s="135"/>
      <c r="I16" s="62" t="str">
        <f t="shared" si="2"/>
        <v>%</v>
      </c>
      <c r="J16" s="72"/>
      <c r="K16" s="87"/>
      <c r="L16" s="40"/>
      <c r="M16" s="131">
        <f t="shared" si="3"/>
        <v>0</v>
      </c>
      <c r="N16" s="42"/>
      <c r="P16" s="5"/>
      <c r="Q16" s="5"/>
      <c r="R16" s="5"/>
      <c r="S16" s="38"/>
      <c r="T16" s="38"/>
    </row>
    <row r="17" spans="1:25" s="4" customFormat="1" ht="15.75" customHeight="1" x14ac:dyDescent="0.25">
      <c r="A17" s="92"/>
      <c r="B17" s="102"/>
      <c r="C17" s="103"/>
      <c r="D17" s="77" t="str">
        <f>IF($E$11="yes","Radius of curve n.6 (R&lt;1.500m):","")</f>
        <v>Radius of curve n.6 (R&lt;1.500m):</v>
      </c>
      <c r="E17" s="151"/>
      <c r="F17" s="62" t="str">
        <f t="shared" si="1"/>
        <v>m</v>
      </c>
      <c r="G17" s="77" t="str">
        <f>IF($E$11="yes","% of segment length within curve n.6:","")</f>
        <v>% of segment length within curve n.6:</v>
      </c>
      <c r="H17" s="135"/>
      <c r="I17" s="62" t="str">
        <f t="shared" si="2"/>
        <v>%</v>
      </c>
      <c r="J17" s="72"/>
      <c r="K17" s="87"/>
      <c r="L17" s="40"/>
      <c r="M17" s="131">
        <f t="shared" si="3"/>
        <v>0</v>
      </c>
      <c r="N17" s="42"/>
      <c r="P17" s="5"/>
      <c r="Q17" s="5"/>
      <c r="R17" s="5"/>
      <c r="S17" s="38"/>
      <c r="T17" s="38"/>
    </row>
    <row r="18" spans="1:25" s="4" customFormat="1" ht="15.75" customHeight="1" x14ac:dyDescent="0.25">
      <c r="A18" s="92"/>
      <c r="B18" s="102"/>
      <c r="C18" s="103"/>
      <c r="D18" s="77" t="str">
        <f>IF($E$11="yes","Radius of curve n.7 (R&lt;1.500m):","")</f>
        <v>Radius of curve n.7 (R&lt;1.500m):</v>
      </c>
      <c r="E18" s="151"/>
      <c r="F18" s="62" t="str">
        <f t="shared" si="1"/>
        <v>m</v>
      </c>
      <c r="G18" s="77" t="str">
        <f>IF($E$11="yes","% of segment length within curve n.7:","")</f>
        <v>% of segment length within curve n.7:</v>
      </c>
      <c r="H18" s="135"/>
      <c r="I18" s="62" t="str">
        <f t="shared" si="2"/>
        <v>%</v>
      </c>
      <c r="J18" s="72"/>
      <c r="K18" s="87"/>
      <c r="L18" s="40"/>
      <c r="M18" s="131">
        <f t="shared" si="3"/>
        <v>0</v>
      </c>
      <c r="N18" s="42"/>
      <c r="P18" s="5"/>
      <c r="Q18" s="5"/>
      <c r="R18" s="5"/>
      <c r="S18" s="38"/>
      <c r="T18" s="38"/>
    </row>
    <row r="19" spans="1:25" s="4" customFormat="1" ht="15.75" customHeight="1" x14ac:dyDescent="0.25">
      <c r="A19" s="92"/>
      <c r="B19" s="102"/>
      <c r="C19" s="103"/>
      <c r="D19" s="77" t="str">
        <f>IF($E$11="yes","Radius of curve n.8 (R&lt;1.500m):","")</f>
        <v>Radius of curve n.8 (R&lt;1.500m):</v>
      </c>
      <c r="E19" s="151"/>
      <c r="F19" s="62" t="str">
        <f t="shared" si="1"/>
        <v>m</v>
      </c>
      <c r="G19" s="77" t="str">
        <f>IF($E$11="yes","% of segment length within curve n.8:","")</f>
        <v>% of segment length within curve n.8:</v>
      </c>
      <c r="H19" s="135"/>
      <c r="I19" s="62" t="str">
        <f t="shared" si="2"/>
        <v>%</v>
      </c>
      <c r="J19" s="72"/>
      <c r="K19" s="87"/>
      <c r="L19" s="40"/>
      <c r="M19" s="131">
        <f t="shared" si="3"/>
        <v>0</v>
      </c>
      <c r="N19" s="42"/>
      <c r="P19" s="5"/>
      <c r="Q19" s="5"/>
      <c r="R19" s="5"/>
      <c r="S19" s="38"/>
      <c r="T19" s="38"/>
    </row>
    <row r="20" spans="1:25" s="4" customFormat="1" ht="15.75" customHeight="1" x14ac:dyDescent="0.25">
      <c r="A20" s="92"/>
      <c r="B20" s="102"/>
      <c r="C20" s="103"/>
      <c r="D20" s="77" t="str">
        <f>IF($E$11="yes","Radius of curve n.9 (R&lt;1.500m):","")</f>
        <v>Radius of curve n.9 (R&lt;1.500m):</v>
      </c>
      <c r="E20" s="151"/>
      <c r="F20" s="62" t="str">
        <f t="shared" si="1"/>
        <v>m</v>
      </c>
      <c r="G20" s="77" t="str">
        <f>IF($E$11="yes","% of segment length within curve n.9:","")</f>
        <v>% of segment length within curve n.9:</v>
      </c>
      <c r="H20" s="135"/>
      <c r="I20" s="62" t="str">
        <f t="shared" si="2"/>
        <v>%</v>
      </c>
      <c r="J20" s="72"/>
      <c r="K20" s="87"/>
      <c r="L20" s="40"/>
      <c r="M20" s="131">
        <f t="shared" si="3"/>
        <v>0</v>
      </c>
      <c r="N20" s="42"/>
      <c r="P20" s="5"/>
      <c r="Q20" s="5"/>
      <c r="R20" s="5"/>
      <c r="S20" s="38"/>
      <c r="T20" s="38"/>
    </row>
    <row r="21" spans="1:25" s="4" customFormat="1" ht="15.75" customHeight="1" x14ac:dyDescent="0.25">
      <c r="A21" s="126"/>
      <c r="B21" s="127"/>
      <c r="C21" s="128"/>
      <c r="D21" s="79" t="str">
        <f>IF($E$11="yes","Radius of curve n.10 (R&lt;1.500m):","")</f>
        <v>Radius of curve n.10 (R&lt;1.500m):</v>
      </c>
      <c r="E21" s="151"/>
      <c r="F21" s="145" t="str">
        <f t="shared" si="1"/>
        <v>m</v>
      </c>
      <c r="G21" s="79" t="str">
        <f>IF($E$11="yes","% of segment length within curve n.10:","")</f>
        <v>% of segment length within curve n.10:</v>
      </c>
      <c r="H21" s="136"/>
      <c r="I21" s="145" t="str">
        <f t="shared" si="2"/>
        <v>%</v>
      </c>
      <c r="J21" s="73"/>
      <c r="K21" s="88"/>
      <c r="L21" s="41"/>
      <c r="M21" s="133">
        <f t="shared" si="3"/>
        <v>0</v>
      </c>
      <c r="N21" s="43"/>
      <c r="P21" s="5"/>
      <c r="Q21" s="5"/>
      <c r="R21" s="5"/>
      <c r="S21" s="38"/>
      <c r="T21" s="38"/>
    </row>
    <row r="22" spans="1:25" s="4" customFormat="1" ht="78.75" x14ac:dyDescent="0.25">
      <c r="A22" s="24">
        <v>4</v>
      </c>
      <c r="B22" s="25" t="s">
        <v>43</v>
      </c>
      <c r="C22" s="26" t="s">
        <v>8</v>
      </c>
      <c r="D22" s="137" t="s">
        <v>149</v>
      </c>
      <c r="E22" s="322" t="s">
        <v>16</v>
      </c>
      <c r="F22" s="323"/>
      <c r="G22" s="153" t="s">
        <v>48</v>
      </c>
      <c r="H22" s="154">
        <v>2800</v>
      </c>
      <c r="I22" s="155" t="s">
        <v>9</v>
      </c>
      <c r="J22" s="139"/>
      <c r="K22" s="140"/>
      <c r="L22" s="27"/>
      <c r="M22" s="141">
        <f>IF(E22="no",1,IF(SUM(H23:H25)&gt;=H22,AVERAGE(M23:M25),((H22-SUM(H23:H25))+SUM(P23:P25))/H22))</f>
        <v>1.0175000000000001</v>
      </c>
      <c r="N22" s="28">
        <f>1/M22</f>
        <v>0.98280098280098271</v>
      </c>
      <c r="P22" s="98" t="s">
        <v>98</v>
      </c>
      <c r="Q22" s="5"/>
      <c r="R22" s="5"/>
      <c r="S22" s="38"/>
      <c r="T22" s="38"/>
    </row>
    <row r="23" spans="1:25" s="4" customFormat="1" x14ac:dyDescent="0.25">
      <c r="A23" s="92"/>
      <c r="B23" s="102"/>
      <c r="C23" s="103"/>
      <c r="D23" s="77" t="str">
        <f>IF($E$22="yes","Ramp spacing n.1 (≤1.600m):","")</f>
        <v>Ramp spacing n.1 (≤1.600m):</v>
      </c>
      <c r="E23" s="151">
        <v>1500</v>
      </c>
      <c r="F23" s="62" t="str">
        <f>IF($E$22="yes","m","")</f>
        <v>m</v>
      </c>
      <c r="G23" s="164"/>
      <c r="H23" s="165">
        <f>IF(E23=0,"",1000)</f>
        <v>1000</v>
      </c>
      <c r="I23" s="166"/>
      <c r="J23" s="167"/>
      <c r="K23" s="168"/>
      <c r="L23" s="166"/>
      <c r="M23" s="313">
        <f>IF(E23&gt;1600,1,IF(E23&gt;0,VLOOKUP(E23,LookupTables!$A$3:$B$19,2),""))</f>
        <v>1.0489999999999999</v>
      </c>
      <c r="N23" s="169"/>
      <c r="P23" s="152">
        <f>IF(E23&gt;0,M23*H23,"")</f>
        <v>1049</v>
      </c>
      <c r="Q23" s="5"/>
      <c r="R23" s="5"/>
      <c r="S23" s="38"/>
      <c r="T23" s="38"/>
    </row>
    <row r="24" spans="1:25" s="4" customFormat="1" x14ac:dyDescent="0.25">
      <c r="A24" s="92"/>
      <c r="B24" s="102"/>
      <c r="C24" s="103"/>
      <c r="D24" s="77" t="str">
        <f>IF($E$22="yes","Ramp spacing n.2 (≤1.600m):","")</f>
        <v>Ramp spacing n.2 (≤1.600m):</v>
      </c>
      <c r="E24" s="151"/>
      <c r="F24" s="62" t="str">
        <f t="shared" ref="F24:F25" si="4">IF($E$22="yes","m","")</f>
        <v>m</v>
      </c>
      <c r="G24" s="156"/>
      <c r="H24" s="83" t="str">
        <f>IF(E24=0,"",1000)</f>
        <v/>
      </c>
      <c r="I24" s="157"/>
      <c r="J24" s="158"/>
      <c r="K24" s="159"/>
      <c r="L24" s="157"/>
      <c r="M24" s="314" t="str">
        <f>IF(E24&gt;1600,1,IF(E24&gt;0,VLOOKUP(E24,LookupTables!$A$3:$B$19,2),""))</f>
        <v/>
      </c>
      <c r="N24" s="49"/>
      <c r="P24" s="152" t="str">
        <f>IF(E24&gt;0,M24*H24,"")</f>
        <v/>
      </c>
      <c r="Q24" s="5"/>
      <c r="R24" s="5"/>
      <c r="S24" s="38"/>
      <c r="T24" s="38"/>
    </row>
    <row r="25" spans="1:25" s="4" customFormat="1" x14ac:dyDescent="0.25">
      <c r="A25" s="126"/>
      <c r="B25" s="127"/>
      <c r="C25" s="128"/>
      <c r="D25" s="79" t="str">
        <f>IF($E$22="yes","Ramp spacing n.3 (≤1.600m):","")</f>
        <v>Ramp spacing n.3 (≤1.600m):</v>
      </c>
      <c r="E25" s="151"/>
      <c r="F25" s="145" t="str">
        <f t="shared" si="4"/>
        <v>m</v>
      </c>
      <c r="G25" s="160"/>
      <c r="H25" s="85" t="str">
        <f>IF(E25=0,"",1000)</f>
        <v/>
      </c>
      <c r="I25" s="161"/>
      <c r="J25" s="162"/>
      <c r="K25" s="163"/>
      <c r="L25" s="161"/>
      <c r="M25" s="315" t="str">
        <f>IF(E25&gt;1600,1,IF(E25&gt;0,VLOOKUP(E25,LookupTables!$A$3:$B$19,2),""))</f>
        <v/>
      </c>
      <c r="N25" s="170"/>
      <c r="P25" s="152" t="str">
        <f>IF(E25&gt;0,M25*H25,"")</f>
        <v/>
      </c>
      <c r="Q25" s="5"/>
      <c r="R25" s="5"/>
      <c r="S25" s="38"/>
      <c r="T25" s="38"/>
    </row>
    <row r="26" spans="1:25" s="4" customFormat="1" ht="63" x14ac:dyDescent="0.25">
      <c r="A26" s="171">
        <v>5</v>
      </c>
      <c r="B26" s="172" t="s">
        <v>47</v>
      </c>
      <c r="C26" s="173" t="s">
        <v>46</v>
      </c>
      <c r="D26" s="174" t="s">
        <v>18</v>
      </c>
      <c r="E26" s="324" t="s">
        <v>16</v>
      </c>
      <c r="F26" s="325"/>
      <c r="G26" s="174" t="str">
        <f>IF(E26="yes","Are all pedestrians and bicyclists near the motorway on level-separated or properly protected facilities?","")</f>
        <v>Are all pedestrians and bicyclists near the motorway on level-separated or properly protected facilities?</v>
      </c>
      <c r="H26" s="318" t="s">
        <v>16</v>
      </c>
      <c r="I26" s="319"/>
      <c r="J26" s="175"/>
      <c r="K26" s="176"/>
      <c r="L26" s="177"/>
      <c r="M26" s="178" t="s">
        <v>15</v>
      </c>
      <c r="N26" s="179">
        <f>IF(E26="no",1,IF(H26="yes",1,IF(H26="","",0.05)))</f>
        <v>1</v>
      </c>
      <c r="P26" s="96"/>
      <c r="Q26" s="5"/>
      <c r="R26" s="5"/>
      <c r="S26" s="38"/>
      <c r="T26" s="38"/>
    </row>
    <row r="27" spans="1:25" s="38" customFormat="1" ht="48" thickBot="1" x14ac:dyDescent="0.3">
      <c r="A27" s="189">
        <v>6</v>
      </c>
      <c r="B27" s="190" t="s">
        <v>49</v>
      </c>
      <c r="C27" s="191" t="s">
        <v>37</v>
      </c>
      <c r="D27" s="192" t="s">
        <v>100</v>
      </c>
      <c r="E27" s="316" t="s">
        <v>16</v>
      </c>
      <c r="F27" s="317"/>
      <c r="G27" s="188"/>
      <c r="H27" s="320"/>
      <c r="I27" s="321"/>
      <c r="J27" s="193"/>
      <c r="K27" s="194"/>
      <c r="L27" s="195"/>
      <c r="M27" s="308" t="s">
        <v>15</v>
      </c>
      <c r="N27" s="309">
        <f>IF(E27="yes",1,IF(E27="no",0.95,""))</f>
        <v>1</v>
      </c>
      <c r="P27" s="5"/>
      <c r="Q27" s="5"/>
      <c r="R27" s="5"/>
    </row>
    <row r="29" spans="1:25" s="3" customFormat="1" ht="18" x14ac:dyDescent="0.25">
      <c r="C29" s="33"/>
      <c r="D29" s="196" t="s">
        <v>101</v>
      </c>
      <c r="E29" s="60">
        <f>100*N4*N5*N11*N22*N26*N27</f>
        <v>85.852707797896841</v>
      </c>
      <c r="F29" s="34" t="s">
        <v>44</v>
      </c>
      <c r="G29" s="35">
        <v>100</v>
      </c>
      <c r="H29" s="33"/>
      <c r="I29" s="33"/>
      <c r="J29" s="33"/>
      <c r="O29" s="39"/>
      <c r="P29" s="100"/>
      <c r="Q29" s="100"/>
      <c r="R29" s="100"/>
      <c r="S29" s="101"/>
      <c r="T29" s="101"/>
      <c r="U29" s="39"/>
      <c r="V29" s="39"/>
      <c r="W29" s="39"/>
      <c r="X29" s="39"/>
      <c r="Y29" s="39"/>
    </row>
    <row r="30" spans="1:25" x14ac:dyDescent="0.25">
      <c r="C30" s="36"/>
      <c r="D30" s="36"/>
      <c r="E30" s="36"/>
      <c r="F30" s="36"/>
      <c r="G30" s="36"/>
      <c r="H30" s="36"/>
      <c r="I30" s="36"/>
      <c r="J30" s="36"/>
    </row>
    <row r="31" spans="1:25" x14ac:dyDescent="0.25">
      <c r="C31" s="36"/>
      <c r="D31" s="36"/>
      <c r="E31" s="36"/>
      <c r="F31" s="36"/>
      <c r="G31" s="36"/>
      <c r="H31" s="36"/>
      <c r="I31" s="36"/>
      <c r="J31" s="36"/>
    </row>
    <row r="32" spans="1:25" x14ac:dyDescent="0.25">
      <c r="C32" s="36"/>
      <c r="D32" s="36"/>
      <c r="E32" s="36"/>
      <c r="F32" s="36"/>
      <c r="G32" s="36"/>
      <c r="H32" s="36"/>
      <c r="I32" s="36"/>
      <c r="J32" s="36"/>
    </row>
    <row r="33" spans="3:10" x14ac:dyDescent="0.25">
      <c r="C33" s="36"/>
      <c r="D33" s="36"/>
      <c r="E33" s="36"/>
      <c r="F33" s="36"/>
      <c r="G33" s="36"/>
      <c r="H33" s="36"/>
      <c r="I33" s="36"/>
      <c r="J33" s="36"/>
    </row>
    <row r="34" spans="3:10" x14ac:dyDescent="0.25">
      <c r="C34" s="36"/>
      <c r="D34" s="36"/>
      <c r="E34" s="36"/>
      <c r="F34" s="36"/>
      <c r="G34" s="36"/>
      <c r="H34" s="36"/>
      <c r="I34" s="36"/>
      <c r="J34" s="36"/>
    </row>
    <row r="35" spans="3:10" x14ac:dyDescent="0.25">
      <c r="C35" s="36"/>
      <c r="D35" s="36"/>
      <c r="E35" s="36"/>
      <c r="F35" s="36"/>
      <c r="G35" s="36"/>
      <c r="H35" s="36"/>
      <c r="I35" s="36"/>
      <c r="J35" s="36"/>
    </row>
    <row r="36" spans="3:10" x14ac:dyDescent="0.25">
      <c r="C36" s="36"/>
      <c r="D36" s="36"/>
      <c r="E36" s="36"/>
      <c r="F36" s="36"/>
      <c r="G36" s="36"/>
      <c r="H36" s="36"/>
      <c r="I36" s="36"/>
      <c r="J36" s="36"/>
    </row>
    <row r="37" spans="3:10" x14ac:dyDescent="0.25">
      <c r="C37" s="36"/>
      <c r="D37" s="36"/>
      <c r="E37" s="36"/>
      <c r="F37" s="36"/>
      <c r="G37" s="36"/>
      <c r="H37" s="36"/>
      <c r="I37" s="36"/>
      <c r="J37" s="36"/>
    </row>
  </sheetData>
  <mergeCells count="12">
    <mergeCell ref="H10:I10"/>
    <mergeCell ref="H5:I5"/>
    <mergeCell ref="H6:I6"/>
    <mergeCell ref="H7:I7"/>
    <mergeCell ref="H8:I8"/>
    <mergeCell ref="H9:I9"/>
    <mergeCell ref="E27:F27"/>
    <mergeCell ref="H26:I26"/>
    <mergeCell ref="H27:I27"/>
    <mergeCell ref="E11:F11"/>
    <mergeCell ref="E22:F22"/>
    <mergeCell ref="E26:F2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DataValidation!$A$1:$A$2</xm:f>
          </x14:formula1>
          <xm:sqref>E22:F22 E11:F11 H26:I27 E26:F27</xm:sqref>
        </x14:dataValidation>
        <x14:dataValidation type="list" allowBlank="1" showInputMessage="1" showErrorMessage="1">
          <x14:formula1>
            <xm:f>DataValidation!$B$1:$B$5</xm:f>
          </x14:formula1>
          <xm:sqref>H5:I10 J5:L5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7"/>
  <sheetViews>
    <sheetView showGridLines="0" zoomScale="85" zoomScaleNormal="85" workbookViewId="0">
      <pane ySplit="3" topLeftCell="A4" activePane="bottomLeft" state="frozen"/>
      <selection pane="bottomLeft" activeCell="S24" sqref="S24"/>
    </sheetView>
  </sheetViews>
  <sheetFormatPr defaultColWidth="8.85546875" defaultRowHeight="15.75" x14ac:dyDescent="0.25"/>
  <cols>
    <col min="1" max="1" width="3.28515625" style="1" customWidth="1"/>
    <col min="2" max="2" width="22.28515625" style="1" customWidth="1"/>
    <col min="3" max="3" width="5.5703125" style="1" bestFit="1" customWidth="1"/>
    <col min="4" max="4" width="30.85546875" style="1" customWidth="1"/>
    <col min="5" max="5" width="7.5703125" style="1" customWidth="1"/>
    <col min="6" max="6" width="3.85546875" style="1" customWidth="1"/>
    <col min="7" max="7" width="33" style="1" customWidth="1"/>
    <col min="8" max="8" width="16.42578125" style="1" customWidth="1"/>
    <col min="9" max="9" width="3.85546875" style="1" customWidth="1"/>
    <col min="10" max="10" width="16" style="1" bestFit="1" customWidth="1"/>
    <col min="11" max="12" width="3.85546875" style="1" customWidth="1"/>
    <col min="13" max="13" width="11.7109375" style="1" customWidth="1"/>
    <col min="14" max="14" width="12.42578125" style="1" customWidth="1"/>
    <col min="15" max="15" width="2.28515625" style="4" customWidth="1"/>
    <col min="16" max="18" width="8" style="96" bestFit="1" customWidth="1"/>
    <col min="19" max="19" width="6" style="97" customWidth="1"/>
    <col min="20" max="20" width="4.5703125" style="97" bestFit="1" customWidth="1"/>
    <col min="21" max="21" width="1.5703125" style="4" bestFit="1" customWidth="1"/>
    <col min="22" max="22" width="4" style="4" bestFit="1" customWidth="1"/>
    <col min="23" max="25" width="8.85546875" style="4"/>
    <col min="26" max="16384" width="8.85546875" style="1"/>
  </cols>
  <sheetData>
    <row r="1" spans="1:25" x14ac:dyDescent="0.25">
      <c r="A1" s="8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5" ht="16.5" thickBot="1" x14ac:dyDescent="0.3">
      <c r="A2" s="8"/>
      <c r="B2" s="146" t="s">
        <v>124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5" s="2" customFormat="1" ht="16.5" thickBot="1" x14ac:dyDescent="0.3">
      <c r="A3" s="10" t="s">
        <v>11</v>
      </c>
      <c r="B3" s="11" t="s">
        <v>13</v>
      </c>
      <c r="C3" s="11" t="s">
        <v>4</v>
      </c>
      <c r="D3" s="89" t="s">
        <v>14</v>
      </c>
      <c r="E3" s="90" t="s">
        <v>12</v>
      </c>
      <c r="F3" s="91"/>
      <c r="G3" s="89" t="s">
        <v>38</v>
      </c>
      <c r="H3" s="90" t="s">
        <v>39</v>
      </c>
      <c r="I3" s="91"/>
      <c r="J3" s="89" t="s">
        <v>40</v>
      </c>
      <c r="K3" s="90" t="s">
        <v>41</v>
      </c>
      <c r="L3" s="91"/>
      <c r="M3" s="11" t="s">
        <v>0</v>
      </c>
      <c r="N3" s="12" t="s">
        <v>1</v>
      </c>
      <c r="O3" s="37"/>
      <c r="P3" s="98" t="s">
        <v>35</v>
      </c>
      <c r="Q3" s="98" t="s">
        <v>34</v>
      </c>
      <c r="R3" s="98" t="s">
        <v>0</v>
      </c>
      <c r="S3" s="98"/>
      <c r="T3" s="107">
        <f>E29</f>
        <v>82.181273838490583</v>
      </c>
      <c r="U3" s="108" t="s">
        <v>44</v>
      </c>
      <c r="V3" s="109">
        <v>100</v>
      </c>
      <c r="W3" s="37"/>
      <c r="X3" s="37"/>
      <c r="Y3" s="37"/>
    </row>
    <row r="4" spans="1:25" x14ac:dyDescent="0.25">
      <c r="A4" s="201">
        <v>1</v>
      </c>
      <c r="B4" s="202" t="s">
        <v>2</v>
      </c>
      <c r="C4" s="203" t="s">
        <v>5</v>
      </c>
      <c r="D4" s="204" t="s">
        <v>29</v>
      </c>
      <c r="E4" s="205">
        <v>3.3</v>
      </c>
      <c r="F4" s="206" t="s">
        <v>9</v>
      </c>
      <c r="G4" s="207"/>
      <c r="H4" s="208"/>
      <c r="I4" s="209"/>
      <c r="J4" s="210"/>
      <c r="K4" s="211"/>
      <c r="L4" s="209"/>
      <c r="M4" s="212">
        <f>IF(E4&gt;=3.25,1,IF(E4&gt;=3,1.025,1.05))</f>
        <v>1</v>
      </c>
      <c r="N4" s="213">
        <f>1/M4</f>
        <v>1</v>
      </c>
      <c r="P4" s="123"/>
    </row>
    <row r="5" spans="1:25" s="4" customFormat="1" x14ac:dyDescent="0.25">
      <c r="A5" s="24">
        <v>2</v>
      </c>
      <c r="B5" s="25" t="s">
        <v>10</v>
      </c>
      <c r="C5" s="26" t="s">
        <v>6</v>
      </c>
      <c r="D5" s="50"/>
      <c r="E5" s="76"/>
      <c r="F5" s="27"/>
      <c r="G5" s="50"/>
      <c r="H5" s="328"/>
      <c r="I5" s="329"/>
      <c r="J5" s="50"/>
      <c r="K5" s="113"/>
      <c r="L5" s="114"/>
      <c r="M5" s="124">
        <f>IF(SUM(K6:K10)&lt;100,"check lengths",IF(SUM(K6:K10)&gt;100,"",K6/100*M6+K7/100*M7+K8/100*M8+K9/100*M9+K10/100*M10))</f>
        <v>1.119963543805</v>
      </c>
      <c r="N5" s="28">
        <f>1/M5</f>
        <v>0.89288620645862093</v>
      </c>
      <c r="P5" s="125" t="s">
        <v>94</v>
      </c>
      <c r="Q5" s="125" t="s">
        <v>95</v>
      </c>
      <c r="R5" s="125"/>
      <c r="S5" s="38"/>
      <c r="T5" s="38"/>
    </row>
    <row r="6" spans="1:25" s="4" customFormat="1" x14ac:dyDescent="0.25">
      <c r="A6" s="197"/>
      <c r="B6" s="15"/>
      <c r="C6" s="16"/>
      <c r="D6" s="77" t="s">
        <v>30</v>
      </c>
      <c r="E6" s="78">
        <v>4.5</v>
      </c>
      <c r="F6" s="13" t="s">
        <v>9</v>
      </c>
      <c r="G6" s="77" t="s">
        <v>31</v>
      </c>
      <c r="H6" s="330" t="s">
        <v>20</v>
      </c>
      <c r="I6" s="331"/>
      <c r="J6" s="77" t="s">
        <v>42</v>
      </c>
      <c r="K6" s="135">
        <v>85</v>
      </c>
      <c r="L6" s="13" t="s">
        <v>19</v>
      </c>
      <c r="M6" s="129">
        <f>IF(K6&gt;0,1-(1-(1-(1-P6*Q6)*(0.567)))*(0.291),0)</f>
        <v>1.0412492499999999</v>
      </c>
      <c r="N6" s="130">
        <f>IF(M6="n/a",0,1/M6)</f>
        <v>0.96038484541525493</v>
      </c>
      <c r="P6" s="99">
        <f>IF(E6&lt;1,10,IF(E6&lt;2,5,IF(E6&lt;3,1.5,IF(E6&lt;5,1.25,IF(E6&lt;7.5,1.1,IF(E6&lt;10,1.05,1))))))</f>
        <v>1.25</v>
      </c>
      <c r="Q6" s="99">
        <f>IF(E6&gt;=10,1,IF(H6="barrier steel",1,IF(H6="barrier concrete",IF(E6&gt;=5,1,1.25),IF(H6="series of rigid obstacles (trees, poles&gt;10cm, etc.)",5,IF(H6="fill/cut slope",3.75,IF(H6="deep drainage ditch",4.583))))))</f>
        <v>1</v>
      </c>
      <c r="R6" s="99"/>
      <c r="S6" s="38"/>
      <c r="T6" s="38"/>
    </row>
    <row r="7" spans="1:25" s="4" customFormat="1" x14ac:dyDescent="0.25">
      <c r="A7" s="115"/>
      <c r="B7" s="102"/>
      <c r="C7" s="103"/>
      <c r="D7" s="77" t="s">
        <v>30</v>
      </c>
      <c r="E7" s="78">
        <v>6</v>
      </c>
      <c r="F7" s="13" t="s">
        <v>9</v>
      </c>
      <c r="G7" s="77" t="s">
        <v>31</v>
      </c>
      <c r="H7" s="330" t="s">
        <v>23</v>
      </c>
      <c r="I7" s="331"/>
      <c r="J7" s="77" t="s">
        <v>42</v>
      </c>
      <c r="K7" s="135">
        <v>5</v>
      </c>
      <c r="L7" s="13" t="s">
        <v>19</v>
      </c>
      <c r="M7" s="131">
        <f>IF(K7&gt;0,1-(1-(1-(1-P7*Q7)*(0.567)))*(0.291),0)</f>
        <v>1.6668023761000001</v>
      </c>
      <c r="N7" s="132">
        <f>IF(M7="n/a",0,1/M7)</f>
        <v>0.59995114858175891</v>
      </c>
      <c r="P7" s="99">
        <f>IF(E7&lt;1,10,IF(E7&lt;2,5,IF(E7&lt;3,1.5,IF(E7&lt;5,1.25,IF(E7&lt;7.5,1.1,IF(E7&lt;10,1.05,1))))))</f>
        <v>1.1000000000000001</v>
      </c>
      <c r="Q7" s="99">
        <f>IF(E7&gt;=10,1,IF(H7="barrier steel",1,IF(H7="barrier concrete",IF(E7&gt;=5,1,1.25),IF(H7="series of rigid obstacles (trees, poles&gt;10cm, etc.)",5,IF(H7="fill/cut slope",3.75,IF(H7="deep drainage ditch",4.583))))))</f>
        <v>4.5830000000000002</v>
      </c>
      <c r="R7" s="99"/>
      <c r="S7" s="38"/>
      <c r="T7" s="38"/>
    </row>
    <row r="8" spans="1:25" s="4" customFormat="1" x14ac:dyDescent="0.25">
      <c r="A8" s="115"/>
      <c r="B8" s="102"/>
      <c r="C8" s="103"/>
      <c r="D8" s="77" t="s">
        <v>30</v>
      </c>
      <c r="E8" s="78">
        <v>6</v>
      </c>
      <c r="F8" s="13" t="s">
        <v>9</v>
      </c>
      <c r="G8" s="77" t="s">
        <v>31</v>
      </c>
      <c r="H8" s="330" t="s">
        <v>22</v>
      </c>
      <c r="I8" s="331"/>
      <c r="J8" s="77" t="s">
        <v>42</v>
      </c>
      <c r="K8" s="135">
        <v>10</v>
      </c>
      <c r="L8" s="13" t="s">
        <v>19</v>
      </c>
      <c r="M8" s="131">
        <f>IF(K8&gt;0,1-(1-(1-(1-P8*Q8)*(0.567)))*(0.291),0)</f>
        <v>1.5156156249999999</v>
      </c>
      <c r="N8" s="132">
        <f t="shared" ref="N8" si="0">IF(M8="n/a",0,1/M8)</f>
        <v>0.65979789565708657</v>
      </c>
      <c r="P8" s="99">
        <f>IF(E8&lt;1,10,IF(E8&lt;2,5,IF(E8&lt;3,1.5,IF(E8&lt;5,1.25,IF(E8&lt;7.5,1.1,IF(E8&lt;10,1.05,1))))))</f>
        <v>1.1000000000000001</v>
      </c>
      <c r="Q8" s="99">
        <f>IF(E8&gt;=10,1,IF(H8="barrier steel",1,IF(H8="barrier concrete",IF(E8&gt;=5,1,1.25),IF(H8="series of rigid obstacles (trees, poles&gt;10cm, etc.)",5,IF(H8="fill/cut slope",3.75,IF(H8="deep drainage ditch",4.583))))))</f>
        <v>3.75</v>
      </c>
      <c r="R8" s="99"/>
      <c r="S8" s="38"/>
      <c r="T8" s="38"/>
    </row>
    <row r="9" spans="1:25" s="4" customFormat="1" x14ac:dyDescent="0.25">
      <c r="A9" s="115"/>
      <c r="B9" s="102"/>
      <c r="C9" s="103"/>
      <c r="D9" s="77" t="s">
        <v>30</v>
      </c>
      <c r="E9" s="78"/>
      <c r="F9" s="13" t="s">
        <v>9</v>
      </c>
      <c r="G9" s="77" t="s">
        <v>31</v>
      </c>
      <c r="H9" s="330"/>
      <c r="I9" s="331"/>
      <c r="J9" s="77" t="s">
        <v>42</v>
      </c>
      <c r="K9" s="135"/>
      <c r="L9" s="13" t="s">
        <v>19</v>
      </c>
      <c r="M9" s="131">
        <f>IF(K9&gt;0,1-(1-(1-(1-P9*Q9)*(0.567)))*(0.291),0)</f>
        <v>0</v>
      </c>
      <c r="N9" s="132" t="str">
        <f>IF(M9=0,"n/a",1/M9)</f>
        <v>n/a</v>
      </c>
      <c r="P9" s="99">
        <f>IF(E9&lt;1,10,IF(E9&lt;2,5,IF(E9&lt;3,1.5,IF(E9&lt;5,1.25,IF(E9&lt;7.5,1.1,IF(E9&lt;10,1.05,1))))))</f>
        <v>10</v>
      </c>
      <c r="Q9" s="99" t="b">
        <f>IF(E9&gt;=10,1,IF(H9="barrier steel",1,IF(H9="barrier concrete",IF(E9&gt;=5,1,1.25),IF(H9="series of rigid obstacles (trees, poles&gt;10cm, etc.)",5,IF(H9="fill/cut slope",3.75,IF(H9="deep drainage ditch",4.583))))))</f>
        <v>0</v>
      </c>
      <c r="R9" s="99"/>
      <c r="S9" s="38"/>
      <c r="T9" s="38"/>
    </row>
    <row r="10" spans="1:25" s="4" customFormat="1" x14ac:dyDescent="0.25">
      <c r="A10" s="198"/>
      <c r="B10" s="127"/>
      <c r="C10" s="128"/>
      <c r="D10" s="79" t="s">
        <v>30</v>
      </c>
      <c r="E10" s="80"/>
      <c r="F10" s="29" t="s">
        <v>9</v>
      </c>
      <c r="G10" s="79" t="s">
        <v>31</v>
      </c>
      <c r="H10" s="326"/>
      <c r="I10" s="327"/>
      <c r="J10" s="79" t="s">
        <v>42</v>
      </c>
      <c r="K10" s="136"/>
      <c r="L10" s="29" t="s">
        <v>19</v>
      </c>
      <c r="M10" s="133">
        <f>IF(K10&gt;0,1-(1-(1-(1-P10*Q10)*(0.567)))*(0.291),0)</f>
        <v>0</v>
      </c>
      <c r="N10" s="134" t="str">
        <f>IF(M10=0,"n/a",1/M10)</f>
        <v>n/a</v>
      </c>
      <c r="P10" s="99">
        <f>IF(E10&lt;1,10,IF(E10&lt;2,5,IF(E10&lt;3,1.5,IF(E10&lt;5,1.25,IF(E10&lt;7.5,1.1,IF(E10&lt;10,1.05,1))))))</f>
        <v>10</v>
      </c>
      <c r="Q10" s="99" t="b">
        <f>IF(E10&gt;=10,1,IF(H10="barrier steel",1,IF(H10="barrier concrete",IF(E10&gt;=5,1,1.25),IF(H10="series of rigid obstacles (trees, poles&gt;10cm, etc.)",5,IF(H10="fill/cut slope",3.75,IF(H10="deep drainage ditch",4.583))))))</f>
        <v>0</v>
      </c>
      <c r="R10" s="99"/>
      <c r="S10" s="38"/>
      <c r="T10" s="38"/>
    </row>
    <row r="11" spans="1:25" s="4" customFormat="1" ht="31.5" x14ac:dyDescent="0.25">
      <c r="A11" s="24">
        <v>3</v>
      </c>
      <c r="B11" s="25" t="s">
        <v>3</v>
      </c>
      <c r="C11" s="26" t="s">
        <v>7</v>
      </c>
      <c r="D11" s="137" t="s">
        <v>103</v>
      </c>
      <c r="E11" s="322" t="s">
        <v>16</v>
      </c>
      <c r="F11" s="323"/>
      <c r="G11" s="50"/>
      <c r="H11" s="138"/>
      <c r="I11" s="27"/>
      <c r="J11" s="139"/>
      <c r="K11" s="140"/>
      <c r="L11" s="27"/>
      <c r="M11" s="141">
        <f>IF(SUM(H12:H21)&gt;100,"check %",IF(E11="no",1,1+0.5*0.03312*SUM(M12:M21)))</f>
        <v>1.0495979058764011</v>
      </c>
      <c r="N11" s="28">
        <f>1/M11</f>
        <v>0.95274580332266623</v>
      </c>
      <c r="P11" s="123"/>
      <c r="Q11" s="5"/>
      <c r="R11" s="5"/>
      <c r="S11" s="38"/>
      <c r="T11" s="38"/>
    </row>
    <row r="12" spans="1:25" s="4" customFormat="1" ht="15.75" customHeight="1" x14ac:dyDescent="0.25">
      <c r="A12" s="92"/>
      <c r="B12" s="102"/>
      <c r="C12" s="103"/>
      <c r="D12" s="142" t="str">
        <f>IF($E$11="yes","Radius of curve n.1 (R&lt;750m):","")</f>
        <v>Radius of curve n.1 (R&lt;750m):</v>
      </c>
      <c r="E12" s="150">
        <v>740</v>
      </c>
      <c r="F12" s="144" t="str">
        <f>IF($E$11="yes","m","")</f>
        <v>m</v>
      </c>
      <c r="G12" s="142" t="str">
        <f>IF($E$11="yes","% of segment length within curve n.1:","")</f>
        <v>% of segment length within curve n.1:</v>
      </c>
      <c r="H12" s="143">
        <v>20</v>
      </c>
      <c r="I12" s="62" t="str">
        <f>IF($E$11="yes","%","")</f>
        <v>%</v>
      </c>
      <c r="J12" s="214"/>
      <c r="K12" s="215"/>
      <c r="L12" s="216"/>
      <c r="M12" s="129">
        <f>IF(E12&gt;0,(1746.5/E12)^2*(H12/100),0)</f>
        <v>1.1140475712198687</v>
      </c>
      <c r="N12" s="217"/>
      <c r="P12" s="5"/>
      <c r="Q12" s="5"/>
      <c r="R12" s="5"/>
      <c r="S12" s="38"/>
      <c r="T12" s="38"/>
    </row>
    <row r="13" spans="1:25" s="4" customFormat="1" ht="15.75" customHeight="1" x14ac:dyDescent="0.25">
      <c r="A13" s="92"/>
      <c r="B13" s="102"/>
      <c r="C13" s="103"/>
      <c r="D13" s="77" t="str">
        <f>IF($E$11="yes","Radius of curve n.2 (R&lt;750m):","")</f>
        <v>Radius of curve n.2 (R&lt;750m):</v>
      </c>
      <c r="E13" s="151">
        <v>600</v>
      </c>
      <c r="F13" s="62" t="str">
        <f t="shared" ref="F13:F21" si="1">IF($E$11="yes","m","")</f>
        <v>m</v>
      </c>
      <c r="G13" s="77" t="str">
        <f>IF($E$11="yes","% of segment length within curve n.2:","")</f>
        <v>% of segment length within curve n.2:</v>
      </c>
      <c r="H13" s="135">
        <v>15</v>
      </c>
      <c r="I13" s="62" t="str">
        <f t="shared" ref="I13:I21" si="2">IF($E$11="yes","%","")</f>
        <v>%</v>
      </c>
      <c r="J13" s="218"/>
      <c r="K13" s="219"/>
      <c r="L13" s="220"/>
      <c r="M13" s="131">
        <f t="shared" ref="M13:M21" si="3">IF(E13&gt;0,(1746.5/E13)^2*(H13/100),0)</f>
        <v>1.2709426041666665</v>
      </c>
      <c r="N13" s="221"/>
      <c r="P13" s="5"/>
      <c r="Q13" s="5"/>
      <c r="R13" s="5"/>
      <c r="S13" s="38"/>
      <c r="T13" s="38"/>
    </row>
    <row r="14" spans="1:25" s="4" customFormat="1" ht="15.75" customHeight="1" x14ac:dyDescent="0.25">
      <c r="A14" s="92"/>
      <c r="B14" s="102"/>
      <c r="C14" s="103"/>
      <c r="D14" s="77" t="str">
        <f>IF($E$11="yes","Radius of curve n.3 (R&lt;750m):","")</f>
        <v>Radius of curve n.3 (R&lt;750m):</v>
      </c>
      <c r="E14" s="151">
        <v>500</v>
      </c>
      <c r="F14" s="62" t="str">
        <f t="shared" si="1"/>
        <v>m</v>
      </c>
      <c r="G14" s="77" t="str">
        <f>IF($E$11="yes","% of segment length within curve n.3:","")</f>
        <v>% of segment length within curve n.3:</v>
      </c>
      <c r="H14" s="135">
        <v>5</v>
      </c>
      <c r="I14" s="62" t="str">
        <f t="shared" si="2"/>
        <v>%</v>
      </c>
      <c r="J14" s="218"/>
      <c r="K14" s="219"/>
      <c r="L14" s="220"/>
      <c r="M14" s="131">
        <f t="shared" si="3"/>
        <v>0.61005244999999997</v>
      </c>
      <c r="N14" s="221"/>
      <c r="P14" s="5"/>
      <c r="Q14" s="5"/>
      <c r="R14" s="5"/>
      <c r="S14" s="38"/>
      <c r="T14" s="38"/>
    </row>
    <row r="15" spans="1:25" s="4" customFormat="1" ht="15.75" customHeight="1" x14ac:dyDescent="0.25">
      <c r="A15" s="92"/>
      <c r="B15" s="102"/>
      <c r="C15" s="103"/>
      <c r="D15" s="77" t="str">
        <f>IF($E$11="yes","Radius of curve n.4 (R&lt;750m):","")</f>
        <v>Radius of curve n.4 (R&lt;750m):</v>
      </c>
      <c r="E15" s="151"/>
      <c r="F15" s="62" t="str">
        <f t="shared" si="1"/>
        <v>m</v>
      </c>
      <c r="G15" s="77" t="str">
        <f>IF($E$11="yes","% of segment length within curve n.4:","")</f>
        <v>% of segment length within curve n.4:</v>
      </c>
      <c r="H15" s="135"/>
      <c r="I15" s="62" t="str">
        <f t="shared" si="2"/>
        <v>%</v>
      </c>
      <c r="J15" s="218"/>
      <c r="K15" s="219"/>
      <c r="L15" s="220"/>
      <c r="M15" s="131">
        <f t="shared" si="3"/>
        <v>0</v>
      </c>
      <c r="N15" s="221"/>
      <c r="P15" s="5"/>
      <c r="Q15" s="5"/>
      <c r="R15" s="5"/>
      <c r="S15" s="38"/>
      <c r="T15" s="38"/>
    </row>
    <row r="16" spans="1:25" s="4" customFormat="1" ht="15.75" customHeight="1" x14ac:dyDescent="0.25">
      <c r="A16" s="92"/>
      <c r="B16" s="102"/>
      <c r="C16" s="103"/>
      <c r="D16" s="77" t="str">
        <f>IF($E$11="yes","Radius of curve n.5 (R&lt;750m):","")</f>
        <v>Radius of curve n.5 (R&lt;750m):</v>
      </c>
      <c r="E16" s="151"/>
      <c r="F16" s="62" t="str">
        <f t="shared" si="1"/>
        <v>m</v>
      </c>
      <c r="G16" s="77" t="str">
        <f>IF($E$11="yes","% of segment length within curve n.5:","")</f>
        <v>% of segment length within curve n.5:</v>
      </c>
      <c r="H16" s="135"/>
      <c r="I16" s="62" t="str">
        <f t="shared" si="2"/>
        <v>%</v>
      </c>
      <c r="J16" s="218"/>
      <c r="K16" s="219"/>
      <c r="L16" s="220"/>
      <c r="M16" s="131">
        <f t="shared" si="3"/>
        <v>0</v>
      </c>
      <c r="N16" s="221"/>
      <c r="P16" s="5"/>
      <c r="Q16" s="5"/>
      <c r="R16" s="5"/>
      <c r="S16" s="38"/>
      <c r="T16" s="38"/>
    </row>
    <row r="17" spans="1:25" s="4" customFormat="1" ht="15.75" customHeight="1" x14ac:dyDescent="0.25">
      <c r="A17" s="92"/>
      <c r="B17" s="102"/>
      <c r="C17" s="103"/>
      <c r="D17" s="77" t="str">
        <f>IF($E$11="yes","Radius of curve n.6 (R&lt;750m):","")</f>
        <v>Radius of curve n.6 (R&lt;750m):</v>
      </c>
      <c r="E17" s="151"/>
      <c r="F17" s="62" t="str">
        <f t="shared" si="1"/>
        <v>m</v>
      </c>
      <c r="G17" s="77" t="str">
        <f>IF($E$11="yes","% of segment length within curve n.6:","")</f>
        <v>% of segment length within curve n.6:</v>
      </c>
      <c r="H17" s="135"/>
      <c r="I17" s="62" t="str">
        <f t="shared" si="2"/>
        <v>%</v>
      </c>
      <c r="J17" s="218"/>
      <c r="K17" s="219"/>
      <c r="L17" s="220"/>
      <c r="M17" s="131">
        <f t="shared" si="3"/>
        <v>0</v>
      </c>
      <c r="N17" s="221"/>
      <c r="P17" s="5"/>
      <c r="Q17" s="5"/>
      <c r="R17" s="5"/>
      <c r="S17" s="38"/>
      <c r="T17" s="38"/>
    </row>
    <row r="18" spans="1:25" s="4" customFormat="1" ht="15.75" customHeight="1" x14ac:dyDescent="0.25">
      <c r="A18" s="92"/>
      <c r="B18" s="102"/>
      <c r="C18" s="103"/>
      <c r="D18" s="77" t="str">
        <f>IF($E$11="yes","Radius of curve n.7 (R&lt;750m):","")</f>
        <v>Radius of curve n.7 (R&lt;750m):</v>
      </c>
      <c r="E18" s="151"/>
      <c r="F18" s="62" t="str">
        <f t="shared" si="1"/>
        <v>m</v>
      </c>
      <c r="G18" s="77" t="str">
        <f>IF($E$11="yes","% of segment length within curve n.7:","")</f>
        <v>% of segment length within curve n.7:</v>
      </c>
      <c r="H18" s="135"/>
      <c r="I18" s="62" t="str">
        <f t="shared" si="2"/>
        <v>%</v>
      </c>
      <c r="J18" s="218"/>
      <c r="K18" s="219"/>
      <c r="L18" s="220"/>
      <c r="M18" s="131">
        <f t="shared" si="3"/>
        <v>0</v>
      </c>
      <c r="N18" s="221"/>
      <c r="P18" s="5"/>
      <c r="Q18" s="5"/>
      <c r="R18" s="5"/>
      <c r="S18" s="38"/>
      <c r="T18" s="38"/>
    </row>
    <row r="19" spans="1:25" s="4" customFormat="1" ht="15.75" customHeight="1" x14ac:dyDescent="0.25">
      <c r="A19" s="92"/>
      <c r="B19" s="102"/>
      <c r="C19" s="103"/>
      <c r="D19" s="77" t="str">
        <f>IF($E$11="yes","Radius of curve n.8 (R&lt;750m):","")</f>
        <v>Radius of curve n.8 (R&lt;750m):</v>
      </c>
      <c r="E19" s="151"/>
      <c r="F19" s="62" t="str">
        <f t="shared" si="1"/>
        <v>m</v>
      </c>
      <c r="G19" s="77" t="str">
        <f>IF($E$11="yes","% of segment length within curve n.8:","")</f>
        <v>% of segment length within curve n.8:</v>
      </c>
      <c r="H19" s="135"/>
      <c r="I19" s="62" t="str">
        <f t="shared" si="2"/>
        <v>%</v>
      </c>
      <c r="J19" s="218"/>
      <c r="K19" s="219"/>
      <c r="L19" s="220"/>
      <c r="M19" s="131">
        <f t="shared" si="3"/>
        <v>0</v>
      </c>
      <c r="N19" s="221"/>
      <c r="P19" s="5"/>
      <c r="Q19" s="5"/>
      <c r="R19" s="5"/>
      <c r="S19" s="38"/>
      <c r="T19" s="38"/>
    </row>
    <row r="20" spans="1:25" s="4" customFormat="1" ht="15.75" customHeight="1" x14ac:dyDescent="0.25">
      <c r="A20" s="92"/>
      <c r="B20" s="102"/>
      <c r="C20" s="103"/>
      <c r="D20" s="77" t="str">
        <f>IF($E$11="yes","Radius of curve n.9 (R&lt;750m):","")</f>
        <v>Radius of curve n.9 (R&lt;750m):</v>
      </c>
      <c r="E20" s="151"/>
      <c r="F20" s="62" t="str">
        <f t="shared" si="1"/>
        <v>m</v>
      </c>
      <c r="G20" s="77" t="str">
        <f>IF($E$11="yes","% of segment length within curve n.9:","")</f>
        <v>% of segment length within curve n.9:</v>
      </c>
      <c r="H20" s="135"/>
      <c r="I20" s="62" t="str">
        <f t="shared" si="2"/>
        <v>%</v>
      </c>
      <c r="J20" s="218"/>
      <c r="K20" s="219"/>
      <c r="L20" s="220"/>
      <c r="M20" s="131">
        <f t="shared" si="3"/>
        <v>0</v>
      </c>
      <c r="N20" s="221"/>
      <c r="P20" s="5"/>
      <c r="Q20" s="5"/>
      <c r="R20" s="5"/>
      <c r="S20" s="38"/>
      <c r="T20" s="38"/>
    </row>
    <row r="21" spans="1:25" s="4" customFormat="1" ht="15.75" customHeight="1" x14ac:dyDescent="0.25">
      <c r="A21" s="126"/>
      <c r="B21" s="127"/>
      <c r="C21" s="128"/>
      <c r="D21" s="79" t="str">
        <f>IF($E$11="yes","Radius of curve n.10 (R&lt;750m):","")</f>
        <v>Radius of curve n.10 (R&lt;750m):</v>
      </c>
      <c r="E21" s="151"/>
      <c r="F21" s="145" t="str">
        <f t="shared" si="1"/>
        <v>m</v>
      </c>
      <c r="G21" s="79" t="str">
        <f>IF($E$11="yes","% of segment length within curve n.10:","")</f>
        <v>% of segment length within curve n.10:</v>
      </c>
      <c r="H21" s="136"/>
      <c r="I21" s="145" t="str">
        <f t="shared" si="2"/>
        <v>%</v>
      </c>
      <c r="J21" s="222"/>
      <c r="K21" s="223"/>
      <c r="L21" s="224"/>
      <c r="M21" s="133">
        <f t="shared" si="3"/>
        <v>0</v>
      </c>
      <c r="N21" s="225"/>
      <c r="P21" s="5"/>
      <c r="Q21" s="5"/>
      <c r="R21" s="5"/>
      <c r="S21" s="38"/>
      <c r="T21" s="38"/>
    </row>
    <row r="22" spans="1:25" s="7" customFormat="1" ht="78.75" x14ac:dyDescent="0.25">
      <c r="A22" s="24">
        <v>4</v>
      </c>
      <c r="B22" s="25" t="s">
        <v>43</v>
      </c>
      <c r="C22" s="26" t="s">
        <v>8</v>
      </c>
      <c r="D22" s="137" t="s">
        <v>149</v>
      </c>
      <c r="E22" s="322" t="s">
        <v>16</v>
      </c>
      <c r="F22" s="323"/>
      <c r="G22" s="153" t="s">
        <v>48</v>
      </c>
      <c r="H22" s="154">
        <v>3500</v>
      </c>
      <c r="I22" s="155" t="s">
        <v>9</v>
      </c>
      <c r="J22" s="139"/>
      <c r="K22" s="140"/>
      <c r="L22" s="27"/>
      <c r="M22" s="141">
        <f>IF(E22="no",1,IF(SUM(H23:H25)&gt;=H22,AVERAGE(M23:M25),((H22-SUM(H23:H25))+SUM(P23:P25))/H22))</f>
        <v>1.0351428571428571</v>
      </c>
      <c r="N22" s="28">
        <f>1/M22</f>
        <v>0.96605023461219985</v>
      </c>
      <c r="P22" s="98" t="s">
        <v>98</v>
      </c>
      <c r="Q22" s="96"/>
      <c r="R22" s="123"/>
      <c r="S22" s="233"/>
      <c r="T22" s="233"/>
    </row>
    <row r="23" spans="1:25" s="7" customFormat="1" x14ac:dyDescent="0.25">
      <c r="A23" s="92"/>
      <c r="B23" s="102"/>
      <c r="C23" s="103"/>
      <c r="D23" s="77" t="str">
        <f>IF($E$22="yes","Ramp spacing n.1 (≤1.600m):","")</f>
        <v>Ramp spacing n.1 (≤1.600m):</v>
      </c>
      <c r="E23" s="151">
        <v>800</v>
      </c>
      <c r="F23" s="62" t="str">
        <f>IF($E$22="yes","m","")</f>
        <v>m</v>
      </c>
      <c r="G23" s="226"/>
      <c r="H23" s="165">
        <f>IF(E23=0,"",1000)</f>
        <v>1000</v>
      </c>
      <c r="I23" s="216"/>
      <c r="J23" s="214"/>
      <c r="K23" s="215"/>
      <c r="L23" s="216"/>
      <c r="M23" s="313">
        <f>IF(E23&gt;1600,1,IF(E23&gt;0,VLOOKUP(E23,LookupTables!$D$3:$E$19,2),""))</f>
        <v>1.0660000000000001</v>
      </c>
      <c r="N23" s="227"/>
      <c r="P23" s="152">
        <f>IF(E23&gt;0,M23*H23,"")</f>
        <v>1066</v>
      </c>
      <c r="Q23" s="96"/>
      <c r="R23" s="123"/>
      <c r="S23" s="233"/>
      <c r="T23" s="233"/>
    </row>
    <row r="24" spans="1:25" s="7" customFormat="1" x14ac:dyDescent="0.25">
      <c r="A24" s="92"/>
      <c r="B24" s="102"/>
      <c r="C24" s="103"/>
      <c r="D24" s="77" t="str">
        <f>IF($E$22="yes","Ramp spacing n.2 (≤1.600m):","")</f>
        <v>Ramp spacing n.2 (≤1.600m):</v>
      </c>
      <c r="E24" s="151">
        <v>1200</v>
      </c>
      <c r="F24" s="62" t="str">
        <f t="shared" ref="F24:F25" si="4">IF($E$22="yes","m","")</f>
        <v>m</v>
      </c>
      <c r="G24" s="228"/>
      <c r="H24" s="83">
        <f>IF(E24=0,"",1000)</f>
        <v>1000</v>
      </c>
      <c r="I24" s="220"/>
      <c r="J24" s="218"/>
      <c r="K24" s="219"/>
      <c r="L24" s="220"/>
      <c r="M24" s="314">
        <f>IF(E24&gt;1600,1,IF(E24&gt;0,VLOOKUP(E24,LookupTables!$A$3:$B$19,2),""))</f>
        <v>1.0569999999999999</v>
      </c>
      <c r="N24" s="229"/>
      <c r="P24" s="152">
        <f>IF(E24&gt;0,M24*H24,"")</f>
        <v>1057</v>
      </c>
      <c r="Q24" s="96"/>
      <c r="R24" s="123"/>
      <c r="S24" s="233"/>
      <c r="T24" s="233"/>
    </row>
    <row r="25" spans="1:25" s="7" customFormat="1" x14ac:dyDescent="0.25">
      <c r="A25" s="126"/>
      <c r="B25" s="127"/>
      <c r="C25" s="128"/>
      <c r="D25" s="79" t="str">
        <f>IF($E$22="yes","Ramp spacing n.3 (≤1.600m):","")</f>
        <v>Ramp spacing n.3 (≤1.600m):</v>
      </c>
      <c r="E25" s="151"/>
      <c r="F25" s="145" t="str">
        <f t="shared" si="4"/>
        <v>m</v>
      </c>
      <c r="G25" s="230"/>
      <c r="H25" s="85" t="str">
        <f>IF(E25=0,"",1000)</f>
        <v/>
      </c>
      <c r="I25" s="307"/>
      <c r="J25" s="222"/>
      <c r="K25" s="223"/>
      <c r="L25" s="307"/>
      <c r="M25" s="178" t="str">
        <f>IF(E25&gt;1600,1,IF(E25&gt;0,VLOOKUP(E25,LookupTables!$A$3:$B$19,2),""))</f>
        <v/>
      </c>
      <c r="N25" s="231"/>
      <c r="P25" s="152" t="str">
        <f>IF(E25&gt;0,M25*H25,"")</f>
        <v/>
      </c>
      <c r="Q25" s="96"/>
      <c r="R25" s="123"/>
      <c r="S25" s="233"/>
      <c r="T25" s="233"/>
    </row>
    <row r="26" spans="1:25" s="4" customFormat="1" ht="63" x14ac:dyDescent="0.25">
      <c r="A26" s="171">
        <v>5</v>
      </c>
      <c r="B26" s="172" t="s">
        <v>47</v>
      </c>
      <c r="C26" s="173" t="s">
        <v>46</v>
      </c>
      <c r="D26" s="174" t="s">
        <v>18</v>
      </c>
      <c r="E26" s="324" t="s">
        <v>16</v>
      </c>
      <c r="F26" s="325"/>
      <c r="G26" s="174" t="str">
        <f>IF(E26="yes","Are all pedestrians and bicyclists near the motorway on level-separated or properly protected facilities?","")</f>
        <v>Are all pedestrians and bicyclists near the motorway on level-separated or properly protected facilities?</v>
      </c>
      <c r="H26" s="318" t="s">
        <v>16</v>
      </c>
      <c r="I26" s="319"/>
      <c r="J26" s="175"/>
      <c r="K26" s="176"/>
      <c r="L26" s="177"/>
      <c r="M26" s="178" t="s">
        <v>15</v>
      </c>
      <c r="N26" s="179">
        <f>IF(E26="no",1,IF(H26="yes",1,IF(H26="","",0.05)))</f>
        <v>1</v>
      </c>
      <c r="P26" s="96"/>
      <c r="Q26" s="96"/>
      <c r="R26" s="5"/>
      <c r="S26" s="38"/>
      <c r="T26" s="38"/>
    </row>
    <row r="27" spans="1:25" s="38" customFormat="1" ht="48" thickBot="1" x14ac:dyDescent="0.3">
      <c r="A27" s="189">
        <v>6</v>
      </c>
      <c r="B27" s="190" t="s">
        <v>49</v>
      </c>
      <c r="C27" s="191" t="s">
        <v>37</v>
      </c>
      <c r="D27" s="192" t="s">
        <v>100</v>
      </c>
      <c r="E27" s="316" t="s">
        <v>16</v>
      </c>
      <c r="F27" s="317"/>
      <c r="G27" s="188"/>
      <c r="H27" s="320"/>
      <c r="I27" s="321"/>
      <c r="J27" s="193"/>
      <c r="K27" s="194"/>
      <c r="L27" s="195"/>
      <c r="M27" s="308" t="s">
        <v>15</v>
      </c>
      <c r="N27" s="309">
        <f>IF(E27="yes",1,IF(E27="no",0.95,""))</f>
        <v>1</v>
      </c>
      <c r="P27" s="5"/>
      <c r="Q27" s="5"/>
      <c r="R27" s="5"/>
    </row>
    <row r="29" spans="1:25" s="3" customFormat="1" ht="18" x14ac:dyDescent="0.25">
      <c r="C29" s="33"/>
      <c r="D29" s="196" t="s">
        <v>101</v>
      </c>
      <c r="E29" s="60">
        <f>100*N4*N5*N11*N22*N26*N27</f>
        <v>82.181273838490583</v>
      </c>
      <c r="F29" s="34" t="s">
        <v>44</v>
      </c>
      <c r="G29" s="35">
        <v>100</v>
      </c>
      <c r="H29" s="33"/>
      <c r="I29" s="33"/>
      <c r="J29" s="33"/>
      <c r="O29" s="39"/>
      <c r="P29" s="100"/>
      <c r="Q29" s="100"/>
      <c r="R29" s="100"/>
      <c r="S29" s="101"/>
      <c r="T29" s="101"/>
      <c r="U29" s="39"/>
      <c r="V29" s="39"/>
      <c r="W29" s="39"/>
      <c r="X29" s="39"/>
      <c r="Y29" s="39"/>
    </row>
    <row r="30" spans="1:25" x14ac:dyDescent="0.25">
      <c r="C30" s="36"/>
      <c r="D30" s="36"/>
      <c r="E30" s="36"/>
      <c r="F30" s="36"/>
      <c r="G30" s="36"/>
      <c r="H30" s="36"/>
      <c r="I30" s="36"/>
      <c r="J30" s="36"/>
    </row>
    <row r="31" spans="1:25" x14ac:dyDescent="0.25">
      <c r="C31" s="36"/>
      <c r="D31" s="36"/>
      <c r="E31" s="36"/>
      <c r="F31" s="36"/>
      <c r="G31" s="36"/>
      <c r="H31" s="36"/>
      <c r="I31" s="36"/>
      <c r="J31" s="36"/>
    </row>
    <row r="32" spans="1:25" x14ac:dyDescent="0.25">
      <c r="C32" s="36"/>
      <c r="D32" s="36"/>
      <c r="E32" s="36"/>
      <c r="F32" s="36"/>
      <c r="G32" s="36"/>
      <c r="H32" s="36"/>
      <c r="I32" s="36"/>
      <c r="J32" s="36"/>
    </row>
    <row r="33" spans="3:10" x14ac:dyDescent="0.25">
      <c r="C33" s="36"/>
      <c r="D33" s="36"/>
      <c r="E33" s="36"/>
      <c r="F33" s="36"/>
      <c r="G33" s="36"/>
      <c r="H33" s="36"/>
      <c r="I33" s="36"/>
      <c r="J33" s="36"/>
    </row>
    <row r="34" spans="3:10" x14ac:dyDescent="0.25">
      <c r="C34" s="36"/>
      <c r="D34" s="36"/>
      <c r="E34" s="36"/>
      <c r="F34" s="36"/>
      <c r="G34" s="36"/>
      <c r="H34" s="36"/>
      <c r="I34" s="36"/>
      <c r="J34" s="36"/>
    </row>
    <row r="35" spans="3:10" x14ac:dyDescent="0.25">
      <c r="C35" s="36"/>
      <c r="D35" s="36"/>
      <c r="E35" s="36"/>
      <c r="F35" s="36"/>
      <c r="G35" s="36"/>
      <c r="H35" s="36"/>
      <c r="I35" s="36"/>
      <c r="J35" s="36"/>
    </row>
    <row r="36" spans="3:10" x14ac:dyDescent="0.25">
      <c r="C36" s="36"/>
      <c r="D36" s="36"/>
      <c r="E36" s="36"/>
      <c r="F36" s="36"/>
      <c r="G36" s="36"/>
      <c r="H36" s="36"/>
      <c r="I36" s="36"/>
      <c r="J36" s="36"/>
    </row>
    <row r="37" spans="3:10" x14ac:dyDescent="0.25">
      <c r="C37" s="36"/>
      <c r="D37" s="36"/>
      <c r="E37" s="36"/>
      <c r="F37" s="36"/>
      <c r="G37" s="36"/>
      <c r="H37" s="36"/>
      <c r="I37" s="36"/>
      <c r="J37" s="36"/>
    </row>
  </sheetData>
  <mergeCells count="12">
    <mergeCell ref="H10:I10"/>
    <mergeCell ref="H5:I5"/>
    <mergeCell ref="H6:I6"/>
    <mergeCell ref="H7:I7"/>
    <mergeCell ref="H8:I8"/>
    <mergeCell ref="H9:I9"/>
    <mergeCell ref="E11:F11"/>
    <mergeCell ref="E22:F22"/>
    <mergeCell ref="E26:F26"/>
    <mergeCell ref="H26:I26"/>
    <mergeCell ref="E27:F27"/>
    <mergeCell ref="H27:I2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DataValidation!$B$1:$B$5</xm:f>
          </x14:formula1>
          <xm:sqref>H5:I10 J5:L5</xm:sqref>
        </x14:dataValidation>
        <x14:dataValidation type="list" allowBlank="1" showInputMessage="1" showErrorMessage="1">
          <x14:formula1>
            <xm:f>DataValidation!$A$1:$A$2</xm:f>
          </x14:formula1>
          <xm:sqref>E22:F22 E11:F11 H26:I27 E26:F27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6"/>
  <sheetViews>
    <sheetView showGridLines="0" zoomScale="85" zoomScaleNormal="85" workbookViewId="0">
      <pane ySplit="5" topLeftCell="A6" activePane="bottomLeft" state="frozen"/>
      <selection pane="bottomLeft" activeCell="S14" sqref="S14"/>
    </sheetView>
  </sheetViews>
  <sheetFormatPr defaultColWidth="8.85546875" defaultRowHeight="15.75" x14ac:dyDescent="0.25"/>
  <cols>
    <col min="1" max="1" width="3.28515625" style="1" customWidth="1"/>
    <col min="2" max="2" width="21" style="1" bestFit="1" customWidth="1"/>
    <col min="3" max="3" width="5.5703125" style="1" bestFit="1" customWidth="1"/>
    <col min="4" max="4" width="34.28515625" style="1" bestFit="1" customWidth="1"/>
    <col min="5" max="5" width="13.28515625" style="1" customWidth="1"/>
    <col min="6" max="6" width="5.140625" style="1" bestFit="1" customWidth="1"/>
    <col min="7" max="7" width="32.7109375" style="1" customWidth="1"/>
    <col min="8" max="8" width="13.28515625" style="1" customWidth="1"/>
    <col min="9" max="9" width="5.140625" style="1" customWidth="1"/>
    <col min="10" max="10" width="24.140625" style="1" bestFit="1" customWidth="1"/>
    <col min="11" max="11" width="8.28515625" style="1" customWidth="1"/>
    <col min="12" max="12" width="3.85546875" style="1" customWidth="1"/>
    <col min="13" max="13" width="11.7109375" style="1" customWidth="1"/>
    <col min="14" max="14" width="12.42578125" style="1" customWidth="1"/>
    <col min="15" max="15" width="1.7109375" style="4" customWidth="1"/>
    <col min="16" max="16" width="9.7109375" style="5" customWidth="1"/>
    <col min="17" max="17" width="2.42578125" style="5" customWidth="1"/>
    <col min="18" max="18" width="0.7109375" style="5" customWidth="1"/>
    <col min="19" max="19" width="5.140625" style="4" customWidth="1"/>
    <col min="20" max="20" width="5.7109375" style="7" customWidth="1"/>
    <col min="21" max="21" width="1.5703125" style="7" bestFit="1" customWidth="1"/>
    <col min="22" max="22" width="4" style="4" bestFit="1" customWidth="1"/>
    <col min="23" max="23" width="8.85546875" style="4"/>
    <col min="24" max="16384" width="8.85546875" style="1"/>
  </cols>
  <sheetData>
    <row r="1" spans="1:26" x14ac:dyDescent="0.25">
      <c r="A1" s="8" t="s">
        <v>105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6" x14ac:dyDescent="0.25">
      <c r="A2" s="8"/>
      <c r="B2" s="146" t="s">
        <v>106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6" s="7" customFormat="1" ht="47.25" x14ac:dyDescent="0.25">
      <c r="A3" s="58"/>
      <c r="B3" s="59" t="s">
        <v>116</v>
      </c>
      <c r="C3" s="275">
        <v>2000</v>
      </c>
      <c r="D3" s="30" t="s">
        <v>148</v>
      </c>
      <c r="E3" s="31">
        <v>0</v>
      </c>
      <c r="F3" s="32" t="s">
        <v>28</v>
      </c>
      <c r="G3" s="30" t="s">
        <v>32</v>
      </c>
      <c r="H3" s="31">
        <v>60</v>
      </c>
      <c r="I3" s="32" t="s">
        <v>28</v>
      </c>
      <c r="J3" s="30" t="s">
        <v>33</v>
      </c>
      <c r="K3" s="332" t="s">
        <v>17</v>
      </c>
      <c r="L3" s="333"/>
      <c r="M3" s="271" t="s">
        <v>114</v>
      </c>
      <c r="N3" s="272">
        <f>IF(E3&gt;20,E3,IF(K3="yes",H3,IF(K3="no",H3+20,"FALSE")))</f>
        <v>80</v>
      </c>
      <c r="O3" s="353" t="s">
        <v>28</v>
      </c>
      <c r="P3" s="354"/>
      <c r="Q3" s="311"/>
      <c r="R3" s="4"/>
      <c r="S3" s="4"/>
      <c r="T3" s="5"/>
      <c r="U3" s="5"/>
      <c r="V3" s="4"/>
      <c r="Y3" s="4"/>
      <c r="Z3" s="4"/>
    </row>
    <row r="4" spans="1:26" s="270" customFormat="1" ht="16.5" thickBot="1" x14ac:dyDescent="0.3">
      <c r="A4" s="51"/>
      <c r="B4" s="52"/>
      <c r="C4" s="51"/>
      <c r="D4" s="266"/>
      <c r="E4" s="268"/>
      <c r="F4" s="267"/>
      <c r="G4" s="266"/>
      <c r="H4" s="104"/>
      <c r="I4" s="104"/>
      <c r="J4" s="104"/>
      <c r="K4" s="104"/>
      <c r="L4" s="104"/>
      <c r="M4" s="105"/>
      <c r="N4" s="106"/>
      <c r="O4" s="269"/>
      <c r="P4" s="55"/>
      <c r="Q4" s="55"/>
      <c r="R4" s="55"/>
      <c r="S4" s="269"/>
      <c r="V4" s="269"/>
      <c r="W4" s="269"/>
    </row>
    <row r="5" spans="1:26" s="2" customFormat="1" ht="16.5" thickBot="1" x14ac:dyDescent="0.3">
      <c r="A5" s="10" t="s">
        <v>11</v>
      </c>
      <c r="B5" s="11" t="s">
        <v>13</v>
      </c>
      <c r="C5" s="11" t="s">
        <v>4</v>
      </c>
      <c r="D5" s="89" t="s">
        <v>14</v>
      </c>
      <c r="E5" s="90" t="s">
        <v>12</v>
      </c>
      <c r="F5" s="91"/>
      <c r="G5" s="89" t="s">
        <v>38</v>
      </c>
      <c r="H5" s="90" t="s">
        <v>39</v>
      </c>
      <c r="I5" s="91"/>
      <c r="J5" s="89" t="s">
        <v>40</v>
      </c>
      <c r="K5" s="90" t="s">
        <v>41</v>
      </c>
      <c r="L5" s="91"/>
      <c r="M5" s="11" t="s">
        <v>0</v>
      </c>
      <c r="N5" s="12" t="s">
        <v>1</v>
      </c>
      <c r="O5" s="37"/>
      <c r="P5" s="66"/>
      <c r="Q5" s="66"/>
      <c r="R5" s="66"/>
      <c r="S5" s="37"/>
      <c r="T5" s="107">
        <f>E27</f>
        <v>73.770143320879598</v>
      </c>
      <c r="U5" s="108" t="s">
        <v>44</v>
      </c>
      <c r="V5" s="109">
        <v>100</v>
      </c>
      <c r="W5" s="37"/>
    </row>
    <row r="6" spans="1:26" s="4" customFormat="1" x14ac:dyDescent="0.25">
      <c r="A6" s="201">
        <v>1</v>
      </c>
      <c r="B6" s="202" t="s">
        <v>2</v>
      </c>
      <c r="C6" s="203" t="s">
        <v>5</v>
      </c>
      <c r="D6" s="204" t="s">
        <v>29</v>
      </c>
      <c r="E6" s="205">
        <v>3.5</v>
      </c>
      <c r="F6" s="206" t="s">
        <v>9</v>
      </c>
      <c r="G6" s="207"/>
      <c r="H6" s="208"/>
      <c r="I6" s="209"/>
      <c r="J6" s="210"/>
      <c r="K6" s="211"/>
      <c r="L6" s="209"/>
      <c r="M6" s="212">
        <f>IF(E6&gt;=3.4,1,IF(E6&gt;=3.15,1.05,IF(E6&gt;=2.7,1.12,1.19)))</f>
        <v>1</v>
      </c>
      <c r="N6" s="213">
        <f>1/M6</f>
        <v>1</v>
      </c>
      <c r="P6" s="5"/>
      <c r="Q6" s="5"/>
      <c r="R6" s="5"/>
      <c r="T6" s="7"/>
      <c r="U6" s="7"/>
    </row>
    <row r="7" spans="1:26" s="4" customFormat="1" x14ac:dyDescent="0.25">
      <c r="A7" s="236">
        <v>2</v>
      </c>
      <c r="B7" s="59" t="s">
        <v>10</v>
      </c>
      <c r="C7" s="58" t="s">
        <v>6</v>
      </c>
      <c r="D7" s="183" t="s">
        <v>62</v>
      </c>
      <c r="E7" s="324">
        <v>2</v>
      </c>
      <c r="F7" s="325"/>
      <c r="G7" s="183" t="s">
        <v>76</v>
      </c>
      <c r="H7" s="324">
        <v>3.7</v>
      </c>
      <c r="I7" s="325"/>
      <c r="J7" s="237"/>
      <c r="K7" s="238"/>
      <c r="L7" s="239"/>
      <c r="M7" s="240">
        <f>AVERAGE(MAX(1,EXP(-0.6869+0.0668*E7)/EXP(-0.4865)),MAX(1,EXP(-0.6869+0.0668*H7)/EXP(-0.4865)))</f>
        <v>1.0239352449904879</v>
      </c>
      <c r="N7" s="241">
        <f>1/M7</f>
        <v>0.97662425909490957</v>
      </c>
      <c r="P7" s="6"/>
      <c r="Q7" s="6"/>
      <c r="R7" s="6"/>
      <c r="T7" s="7"/>
      <c r="U7" s="7"/>
    </row>
    <row r="8" spans="1:26" s="4" customFormat="1" ht="31.5" x14ac:dyDescent="0.25">
      <c r="A8" s="236">
        <v>3</v>
      </c>
      <c r="B8" s="59" t="s">
        <v>3</v>
      </c>
      <c r="C8" s="58" t="s">
        <v>7</v>
      </c>
      <c r="D8" s="242" t="s">
        <v>57</v>
      </c>
      <c r="E8" s="324" t="s">
        <v>16</v>
      </c>
      <c r="F8" s="325"/>
      <c r="G8" s="183" t="str">
        <f>IF($E$8="yes","Radius of sharpest curve in segment (R&lt;1.000m):","")</f>
        <v>Radius of sharpest curve in segment (R&lt;1.000m):</v>
      </c>
      <c r="H8" s="243">
        <v>500</v>
      </c>
      <c r="I8" s="32" t="str">
        <f>IF($E$8="yes","m","")</f>
        <v>m</v>
      </c>
      <c r="J8" s="185"/>
      <c r="K8" s="186"/>
      <c r="L8" s="187"/>
      <c r="M8" s="244">
        <f>IF(E8="no",1,1+0.7937*((0.09134*$N$3)^4)*((0.9134*$N$3)^2)/(32.2*(1.5*$H$8/0.3048)^2))</f>
        <v>1.061974620026545</v>
      </c>
      <c r="N8" s="241">
        <f>1/M8</f>
        <v>0.9416420893137768</v>
      </c>
      <c r="O8" s="5"/>
      <c r="T8" s="7"/>
      <c r="U8" s="7"/>
    </row>
    <row r="9" spans="1:26" s="4" customFormat="1" ht="31.5" x14ac:dyDescent="0.25">
      <c r="A9" s="236">
        <v>4</v>
      </c>
      <c r="B9" s="59" t="s">
        <v>25</v>
      </c>
      <c r="C9" s="58" t="s">
        <v>26</v>
      </c>
      <c r="D9" s="183" t="s">
        <v>58</v>
      </c>
      <c r="E9" s="243">
        <v>2</v>
      </c>
      <c r="F9" s="32" t="s">
        <v>59</v>
      </c>
      <c r="G9" s="184"/>
      <c r="H9" s="245"/>
      <c r="I9" s="187"/>
      <c r="J9" s="185"/>
      <c r="K9" s="186"/>
      <c r="L9" s="187"/>
      <c r="M9" s="244">
        <f>IF($E$9&gt;15,2,VLOOKUP($E$9,LookupTables!G3:H18,2))</f>
        <v>1.093</v>
      </c>
      <c r="N9" s="241">
        <f>1/M9</f>
        <v>0.91491308325709064</v>
      </c>
      <c r="P9" s="5"/>
      <c r="Q9" s="5"/>
      <c r="R9" s="5"/>
      <c r="T9" s="7"/>
      <c r="U9" s="7"/>
    </row>
    <row r="10" spans="1:26" s="4" customFormat="1" x14ac:dyDescent="0.25">
      <c r="A10" s="24">
        <v>5</v>
      </c>
      <c r="B10" s="25" t="s">
        <v>45</v>
      </c>
      <c r="C10" s="26" t="s">
        <v>27</v>
      </c>
      <c r="D10" s="153" t="s">
        <v>82</v>
      </c>
      <c r="E10" s="322" t="s">
        <v>16</v>
      </c>
      <c r="F10" s="323"/>
      <c r="G10" s="153" t="s">
        <v>48</v>
      </c>
      <c r="H10" s="276">
        <f>C3</f>
        <v>2000</v>
      </c>
      <c r="I10" s="155" t="s">
        <v>9</v>
      </c>
      <c r="J10" s="254"/>
      <c r="K10" s="255"/>
      <c r="L10" s="256"/>
      <c r="M10" s="124">
        <f>IF(SUM($H$11:$H$14)&gt;$H$10,FALSE,IF($E$10="no",1,(($H$10-SUM($H$11:$H$14))*1+$H$11*$M$11+$H$12*$M$12+$H$13*$M$13+$H$14*$M$14)/$H$10))</f>
        <v>1</v>
      </c>
      <c r="N10" s="28">
        <f>1/M10</f>
        <v>1</v>
      </c>
      <c r="P10" s="5"/>
      <c r="Q10" s="5"/>
      <c r="R10" s="5"/>
      <c r="T10" s="7"/>
      <c r="U10" s="7"/>
    </row>
    <row r="11" spans="1:26" s="4" customFormat="1" ht="31.5" customHeight="1" x14ac:dyDescent="0.25">
      <c r="A11" s="92"/>
      <c r="B11" s="102"/>
      <c r="C11" s="103"/>
      <c r="D11" s="235" t="str">
        <f>IF($E$10="yes","Junction no.1 type:","")</f>
        <v>Junction no.1 type:</v>
      </c>
      <c r="E11" s="330" t="s">
        <v>87</v>
      </c>
      <c r="F11" s="340"/>
      <c r="G11" s="235" t="str">
        <f>IF($E$10="yes","Junction no.1 length within segment:","")</f>
        <v>Junction no.1 length within segment:</v>
      </c>
      <c r="H11" s="135">
        <v>300</v>
      </c>
      <c r="I11" s="13" t="s">
        <v>9</v>
      </c>
      <c r="J11" s="251"/>
      <c r="K11" s="258"/>
      <c r="L11" s="259" t="s">
        <v>107</v>
      </c>
      <c r="M11" s="260">
        <f>IF(E11="",1,VLOOKUP(E11,LookupTables!$R$3:$S$12,2,FALSE))</f>
        <v>1</v>
      </c>
      <c r="N11" s="252"/>
      <c r="P11" s="5"/>
      <c r="Q11" s="5"/>
      <c r="R11" s="5"/>
      <c r="T11" s="7"/>
      <c r="U11" s="7"/>
    </row>
    <row r="12" spans="1:26" s="4" customFormat="1" ht="31.5" customHeight="1" x14ac:dyDescent="0.25">
      <c r="A12" s="92"/>
      <c r="B12" s="102"/>
      <c r="C12" s="103"/>
      <c r="D12" s="235" t="str">
        <f>IF($E$10="yes","Junction no.2 type:","")</f>
        <v>Junction no.2 type:</v>
      </c>
      <c r="E12" s="330"/>
      <c r="F12" s="340"/>
      <c r="G12" s="235" t="str">
        <f>IF($E$10="yes","Junction no.2 length within segment:","")</f>
        <v>Junction no.2 length within segment:</v>
      </c>
      <c r="H12" s="135"/>
      <c r="I12" s="13" t="s">
        <v>9</v>
      </c>
      <c r="J12" s="251"/>
      <c r="K12" s="258"/>
      <c r="L12" s="259" t="s">
        <v>108</v>
      </c>
      <c r="M12" s="260">
        <f>IF(E12="",1,VLOOKUP(E12,LookupTables!$R$3:$S$12,2,FALSE))</f>
        <v>1</v>
      </c>
      <c r="N12" s="252"/>
      <c r="P12" s="5"/>
      <c r="Q12" s="5"/>
      <c r="R12" s="5"/>
      <c r="T12" s="7"/>
      <c r="U12" s="7"/>
    </row>
    <row r="13" spans="1:26" s="4" customFormat="1" ht="31.5" customHeight="1" x14ac:dyDescent="0.25">
      <c r="A13" s="92"/>
      <c r="B13" s="102"/>
      <c r="C13" s="103"/>
      <c r="D13" s="235" t="str">
        <f>IF($E$10="yes","Junction no.3 type:","")</f>
        <v>Junction no.3 type:</v>
      </c>
      <c r="E13" s="330"/>
      <c r="F13" s="340"/>
      <c r="G13" s="235" t="str">
        <f>IF($E$10="yes","Junction no.3 length within segment:","")</f>
        <v>Junction no.3 length within segment:</v>
      </c>
      <c r="H13" s="135"/>
      <c r="I13" s="13" t="s">
        <v>9</v>
      </c>
      <c r="J13" s="251"/>
      <c r="K13" s="258"/>
      <c r="L13" s="259" t="s">
        <v>109</v>
      </c>
      <c r="M13" s="260">
        <f>IF(E13="",1,VLOOKUP(E13,LookupTables!$R$3:$S$12,2,FALSE))</f>
        <v>1</v>
      </c>
      <c r="N13" s="252"/>
      <c r="P13" s="5"/>
      <c r="Q13" s="5"/>
      <c r="R13" s="5"/>
      <c r="T13" s="7"/>
      <c r="U13" s="7"/>
    </row>
    <row r="14" spans="1:26" s="4" customFormat="1" ht="31.5" customHeight="1" x14ac:dyDescent="0.25">
      <c r="A14" s="126"/>
      <c r="B14" s="127"/>
      <c r="C14" s="128"/>
      <c r="D14" s="257" t="str">
        <f>IF($E$10="yes","Junction no.4 type:","")</f>
        <v>Junction no.4 type:</v>
      </c>
      <c r="E14" s="326"/>
      <c r="F14" s="348"/>
      <c r="G14" s="257" t="str">
        <f>IF($E$10="yes","Junction no.4 length within segment:","")</f>
        <v>Junction no.4 length within segment:</v>
      </c>
      <c r="H14" s="136"/>
      <c r="I14" s="29" t="s">
        <v>9</v>
      </c>
      <c r="J14" s="175"/>
      <c r="K14" s="261"/>
      <c r="L14" s="262" t="s">
        <v>110</v>
      </c>
      <c r="M14" s="263">
        <f>IF(E14="",1,VLOOKUP(E14,LookupTables!$R$3:$S$12,2,FALSE))</f>
        <v>1</v>
      </c>
      <c r="N14" s="253"/>
      <c r="P14" s="5"/>
      <c r="Q14" s="5"/>
      <c r="R14" s="5"/>
      <c r="T14" s="7"/>
      <c r="U14" s="7"/>
    </row>
    <row r="15" spans="1:26" s="4" customFormat="1" ht="47.25" customHeight="1" x14ac:dyDescent="0.25">
      <c r="A15" s="24">
        <v>6</v>
      </c>
      <c r="B15" s="25" t="s">
        <v>47</v>
      </c>
      <c r="C15" s="26" t="s">
        <v>46</v>
      </c>
      <c r="D15" s="153" t="s">
        <v>133</v>
      </c>
      <c r="E15" s="338" t="s">
        <v>78</v>
      </c>
      <c r="F15" s="339"/>
      <c r="G15" s="153" t="s">
        <v>132</v>
      </c>
      <c r="H15" s="322" t="s">
        <v>16</v>
      </c>
      <c r="I15" s="323"/>
      <c r="J15" s="153" t="s">
        <v>135</v>
      </c>
      <c r="K15" s="338" t="s">
        <v>138</v>
      </c>
      <c r="L15" s="339"/>
      <c r="M15" s="141">
        <f>(3.1*M19+8.8*M18)/(3.1+8.8)</f>
        <v>1.0065126050420168</v>
      </c>
      <c r="N15" s="28">
        <f>1/M15</f>
        <v>0.99352953454393655</v>
      </c>
      <c r="P15" s="68"/>
      <c r="Q15" s="68"/>
      <c r="R15" s="5"/>
      <c r="T15" s="7"/>
      <c r="U15" s="7"/>
    </row>
    <row r="16" spans="1:26" s="4" customFormat="1" ht="31.5" customHeight="1" x14ac:dyDescent="0.25">
      <c r="A16" s="92"/>
      <c r="B16" s="102"/>
      <c r="C16" s="103"/>
      <c r="D16" s="235" t="s">
        <v>134</v>
      </c>
      <c r="E16" s="330" t="s">
        <v>77</v>
      </c>
      <c r="F16" s="340"/>
      <c r="G16" s="235" t="str">
        <f>IF($H$15="yes","No. of grade separated pedestrian crossings in segment:","")</f>
        <v>No. of grade separated pedestrian crossings in segment:</v>
      </c>
      <c r="H16" s="341">
        <v>0</v>
      </c>
      <c r="I16" s="342"/>
      <c r="J16" s="235" t="s">
        <v>136</v>
      </c>
      <c r="K16" s="330" t="s">
        <v>137</v>
      </c>
      <c r="L16" s="340"/>
      <c r="M16" s="301"/>
      <c r="N16" s="302"/>
      <c r="P16" s="68"/>
      <c r="Q16" s="68"/>
      <c r="R16" s="5"/>
      <c r="T16" s="7"/>
      <c r="U16" s="7"/>
    </row>
    <row r="17" spans="1:23" s="4" customFormat="1" ht="31.5" x14ac:dyDescent="0.25">
      <c r="A17" s="115"/>
      <c r="B17" s="119"/>
      <c r="C17" s="116"/>
      <c r="D17" s="84"/>
      <c r="E17" s="120"/>
      <c r="F17" s="121"/>
      <c r="G17" s="235" t="str">
        <f>IF($H$15="yes","No. of signalized at-grade pedestrian crossings with refuge:","")</f>
        <v>No. of signalized at-grade pedestrian crossings with refuge:</v>
      </c>
      <c r="H17" s="341">
        <v>1</v>
      </c>
      <c r="I17" s="342"/>
      <c r="J17" s="93"/>
      <c r="K17" s="94"/>
      <c r="L17" s="95"/>
      <c r="M17" s="303"/>
      <c r="N17" s="117"/>
      <c r="P17" s="68"/>
      <c r="Q17" s="68"/>
      <c r="R17" s="5"/>
      <c r="T17" s="7"/>
      <c r="U17" s="7"/>
    </row>
    <row r="18" spans="1:23" s="4" customFormat="1" ht="31.5" x14ac:dyDescent="0.25">
      <c r="A18" s="115"/>
      <c r="B18" s="119"/>
      <c r="C18" s="116"/>
      <c r="D18" s="84"/>
      <c r="E18" s="120"/>
      <c r="F18" s="121"/>
      <c r="G18" s="235" t="str">
        <f>IF($H$15="yes","No. of signalized at-grade pedestrian crossings without refuge:","")</f>
        <v>No. of signalized at-grade pedestrian crossings without refuge:</v>
      </c>
      <c r="H18" s="341">
        <v>0</v>
      </c>
      <c r="I18" s="342"/>
      <c r="J18" s="93"/>
      <c r="K18" s="304"/>
      <c r="L18" s="305" t="s">
        <v>140</v>
      </c>
      <c r="M18" s="306">
        <f>AVERAGE(IF($E$15="dedicated bicyclist lane on roadway",12,IF($E$15="wide paved shoulder (width &gt; 1m)",17, IF($E$15="no facility - bicyclists on traffic lanes or narrow shoulder",20,1))),IF($E$16="dedicated bicyclist lane on roadway",12,IF($E$16="wide paved shoulder (width &gt; 1m)",17, IF($E$16="no facility - bicyclists on traffic lanes or narrow shoulder",20,1))))</f>
        <v>1</v>
      </c>
      <c r="N18" s="117"/>
      <c r="P18" s="68"/>
      <c r="Q18" s="68"/>
      <c r="R18" s="5"/>
      <c r="T18" s="7"/>
      <c r="U18" s="7"/>
    </row>
    <row r="19" spans="1:23" s="4" customFormat="1" ht="31.5" x14ac:dyDescent="0.25">
      <c r="A19" s="115"/>
      <c r="B19" s="119"/>
      <c r="C19" s="116"/>
      <c r="D19" s="343" t="s">
        <v>142</v>
      </c>
      <c r="E19" s="344"/>
      <c r="F19" s="345"/>
      <c r="G19" s="235" t="str">
        <f>IF($H$15="yes","No. of unsignalized marked pedestrian crossings with refuge:","")</f>
        <v>No. of unsignalized marked pedestrian crossings with refuge:</v>
      </c>
      <c r="H19" s="341">
        <v>0</v>
      </c>
      <c r="I19" s="342"/>
      <c r="J19" s="93"/>
      <c r="K19" s="304"/>
      <c r="L19" s="305" t="s">
        <v>141</v>
      </c>
      <c r="M19" s="306">
        <f>AVERAGE(M20:M21)</f>
        <v>1.0249999999999999</v>
      </c>
      <c r="N19" s="117"/>
      <c r="P19" s="68"/>
      <c r="Q19" s="68"/>
      <c r="R19" s="5"/>
      <c r="T19" s="7"/>
      <c r="U19" s="7"/>
    </row>
    <row r="20" spans="1:23" s="4" customFormat="1" ht="31.5" x14ac:dyDescent="0.25">
      <c r="A20" s="115"/>
      <c r="B20" s="119"/>
      <c r="C20" s="116"/>
      <c r="D20" s="84"/>
      <c r="E20" s="120"/>
      <c r="F20" s="121"/>
      <c r="G20" s="235" t="str">
        <f>IF($H$15="yes","No. of unsignalized marked pedestrian crossings without refuge:","")</f>
        <v>No. of unsignalized marked pedestrian crossings without refuge:</v>
      </c>
      <c r="H20" s="341">
        <v>0</v>
      </c>
      <c r="I20" s="342"/>
      <c r="J20" s="93"/>
      <c r="K20" s="304"/>
      <c r="L20" s="305" t="s">
        <v>143</v>
      </c>
      <c r="M20" s="306">
        <f>IF(SUM($H$16:$I$21)*100&gt;$C$3,FALSE,IF($H$15="no",1,IF($H$3&gt;70,(($C$3-100*SUM($H$16:$I$21))*1+100*($H$16*1+$H$17*2.5+$H$18*3.1+$H$19*9.5+$H$20*12+$H$21*16.75))/$C$3,(($C$3-100*SUM($H$16:$I$21))*1+100*($H$16*1+$H$17*2+$H$18*2.5+$H$19*8+$H$20*10+$H$21*12))/$C$3)))</f>
        <v>1.05</v>
      </c>
      <c r="N20" s="117"/>
      <c r="P20" s="68"/>
      <c r="Q20" s="68"/>
      <c r="R20" s="5"/>
      <c r="T20" s="7"/>
      <c r="U20" s="7"/>
    </row>
    <row r="21" spans="1:23" s="4" customFormat="1" ht="31.5" x14ac:dyDescent="0.25">
      <c r="A21" s="198"/>
      <c r="B21" s="246"/>
      <c r="C21" s="199"/>
      <c r="D21" s="200"/>
      <c r="E21" s="247"/>
      <c r="F21" s="248"/>
      <c r="G21" s="257" t="str">
        <f>IF($H$15="yes","No. of pedestrian crossing locations without any arrangement:","")</f>
        <v>No. of pedestrian crossing locations without any arrangement:</v>
      </c>
      <c r="H21" s="336">
        <v>0</v>
      </c>
      <c r="I21" s="337"/>
      <c r="J21" s="122"/>
      <c r="K21" s="304"/>
      <c r="L21" s="305" t="s">
        <v>144</v>
      </c>
      <c r="M21" s="306">
        <f>AVERAGE(IF($K$15="no facility for pedestrians walking along",20,IF($K$15="segregated - protected pedestrian path",1,1)),IF($K$16="no facility for pedestrians walking along",20,IF($K$16="segregated - protected pedestrian path",1,1)))</f>
        <v>1</v>
      </c>
      <c r="N21" s="249"/>
      <c r="P21" s="68"/>
      <c r="Q21" s="68"/>
      <c r="R21" s="5"/>
      <c r="T21" s="7"/>
      <c r="U21" s="7"/>
    </row>
    <row r="22" spans="1:23" s="4" customFormat="1" x14ac:dyDescent="0.25">
      <c r="A22" s="282">
        <v>7</v>
      </c>
      <c r="B22" s="283" t="s">
        <v>65</v>
      </c>
      <c r="C22" s="284" t="s">
        <v>52</v>
      </c>
      <c r="D22" s="153" t="s">
        <v>117</v>
      </c>
      <c r="E22" s="322" t="s">
        <v>64</v>
      </c>
      <c r="F22" s="323"/>
      <c r="G22" s="153" t="s">
        <v>119</v>
      </c>
      <c r="H22" s="285">
        <v>1.3</v>
      </c>
      <c r="I22" s="286" t="s">
        <v>9</v>
      </c>
      <c r="J22" s="139"/>
      <c r="K22" s="140"/>
      <c r="L22" s="27"/>
      <c r="M22" s="141">
        <f>AVERAGE(IF($E$22="paved",VLOOKUP($H$22,LookupTables!K3:L8,2),IF($E$22="unpaved",VLOOKUP($H$22,LookupTables!O3:P8,2))),IF($E$23="paved",VLOOKUP($H$23,LookupTables!K3:L8,2),IF($E$23="unpaved",VLOOKUP($H$23,LookupTables!O3:P8,2))))</f>
        <v>1.077</v>
      </c>
      <c r="N22" s="28">
        <f>1/M22</f>
        <v>0.92850510677808729</v>
      </c>
      <c r="P22" s="5"/>
      <c r="Q22" s="5"/>
      <c r="R22" s="5"/>
      <c r="T22" s="7"/>
      <c r="U22" s="7"/>
    </row>
    <row r="23" spans="1:23" s="4" customFormat="1" x14ac:dyDescent="0.25">
      <c r="A23" s="287"/>
      <c r="B23" s="288"/>
      <c r="C23" s="289"/>
      <c r="D23" s="257" t="s">
        <v>118</v>
      </c>
      <c r="E23" s="336" t="s">
        <v>64</v>
      </c>
      <c r="F23" s="337"/>
      <c r="G23" s="257" t="s">
        <v>120</v>
      </c>
      <c r="H23" s="80">
        <v>1.3</v>
      </c>
      <c r="I23" s="145" t="s">
        <v>9</v>
      </c>
      <c r="J23" s="279"/>
      <c r="K23" s="280"/>
      <c r="L23" s="281"/>
      <c r="M23" s="290"/>
      <c r="N23" s="291"/>
      <c r="P23" s="5"/>
      <c r="Q23" s="5"/>
      <c r="R23" s="5"/>
      <c r="T23" s="7"/>
      <c r="U23" s="7"/>
    </row>
    <row r="24" spans="1:23" s="4" customFormat="1" ht="32.25" customHeight="1" x14ac:dyDescent="0.25">
      <c r="A24" s="180">
        <v>8</v>
      </c>
      <c r="B24" s="181" t="s">
        <v>51</v>
      </c>
      <c r="C24" s="182" t="s">
        <v>53</v>
      </c>
      <c r="D24" s="183" t="s">
        <v>115</v>
      </c>
      <c r="E24" s="324" t="s">
        <v>17</v>
      </c>
      <c r="F24" s="325"/>
      <c r="G24" s="183" t="str">
        <f>IF($E$24="yes","","Length within segment with longitudinal slope &gt;4%?")</f>
        <v>Length within segment with longitudinal slope &gt;4%?</v>
      </c>
      <c r="H24" s="277">
        <v>700</v>
      </c>
      <c r="I24" s="29" t="s">
        <v>9</v>
      </c>
      <c r="J24" s="183" t="str">
        <f>IF($E$24="yes","",IF($H$24=0,"","Are there passing lanes present?"))</f>
        <v>Are there passing lanes present?</v>
      </c>
      <c r="K24" s="334" t="s">
        <v>74</v>
      </c>
      <c r="L24" s="335"/>
      <c r="M24" s="240">
        <f>IF($E$24="yes",1,IF($H$24&lt;500.5,1,IF($K$24="yes, in both directions",1,IF($K$24="yes, in one direction",1.149*$H$24/$C$3+1*($C$3-$H$24)/$C$3,IF($K$24="no",1.502*$H$24/$C$3+1*($C$3-$H$24)/$C$3)))))</f>
        <v>1.0521500000000001</v>
      </c>
      <c r="N24" s="278">
        <f>1/M24</f>
        <v>0.95043482393194878</v>
      </c>
      <c r="P24" s="5"/>
      <c r="Q24" s="5"/>
      <c r="R24" s="5"/>
      <c r="T24" s="7"/>
      <c r="U24" s="7"/>
    </row>
    <row r="25" spans="1:23" s="4" customFormat="1" ht="47.25" customHeight="1" thickBot="1" x14ac:dyDescent="0.3">
      <c r="A25" s="189">
        <v>9</v>
      </c>
      <c r="B25" s="190" t="s">
        <v>112</v>
      </c>
      <c r="C25" s="191" t="s">
        <v>36</v>
      </c>
      <c r="D25" s="192" t="s">
        <v>113</v>
      </c>
      <c r="E25" s="346" t="s">
        <v>54</v>
      </c>
      <c r="F25" s="347"/>
      <c r="G25" s="188"/>
      <c r="H25" s="310"/>
      <c r="I25" s="195"/>
      <c r="J25" s="193"/>
      <c r="K25" s="194"/>
      <c r="L25" s="195"/>
      <c r="M25" s="308" t="s">
        <v>15</v>
      </c>
      <c r="N25" s="309">
        <f>IF(E25="in place, high quality, good condition",1,IF(E25="in place, but poor quality or condition",0.95,IF(E25="critical signs/ markings missing",0.9,"")))</f>
        <v>1</v>
      </c>
      <c r="P25" s="5"/>
      <c r="Q25" s="5"/>
      <c r="R25" s="5"/>
      <c r="T25" s="7"/>
      <c r="U25" s="7"/>
    </row>
    <row r="26" spans="1:23" s="38" customFormat="1" x14ac:dyDescent="0.25">
      <c r="A26" s="51"/>
      <c r="B26" s="52"/>
      <c r="C26" s="51"/>
      <c r="D26" s="53"/>
      <c r="E26" s="54"/>
      <c r="F26" s="55"/>
      <c r="G26" s="53"/>
      <c r="H26" s="54"/>
      <c r="I26" s="55"/>
      <c r="J26" s="55"/>
      <c r="K26" s="55"/>
      <c r="L26" s="55"/>
      <c r="M26" s="56"/>
      <c r="N26" s="57"/>
      <c r="P26" s="232"/>
      <c r="Q26" s="5"/>
      <c r="R26" s="5"/>
      <c r="T26" s="233"/>
      <c r="U26" s="233"/>
    </row>
    <row r="27" spans="1:23" s="3" customFormat="1" ht="18" x14ac:dyDescent="0.25">
      <c r="B27" s="33"/>
      <c r="C27" s="33"/>
      <c r="D27" s="196" t="s">
        <v>101</v>
      </c>
      <c r="E27" s="61">
        <f>100*N6*N7*N8*N9*N10*N15*N22*N24*N25</f>
        <v>73.770143320879598</v>
      </c>
      <c r="F27" s="34" t="s">
        <v>44</v>
      </c>
      <c r="G27" s="35">
        <v>100</v>
      </c>
      <c r="H27" s="33"/>
      <c r="O27" s="39"/>
      <c r="P27" s="67"/>
      <c r="Q27" s="67"/>
      <c r="R27" s="67"/>
      <c r="S27" s="39"/>
      <c r="T27" s="234"/>
      <c r="U27" s="234"/>
      <c r="V27" s="39"/>
      <c r="W27" s="39"/>
    </row>
    <row r="28" spans="1:23" x14ac:dyDescent="0.25">
      <c r="B28" s="36"/>
      <c r="C28" s="36"/>
      <c r="D28" s="36"/>
      <c r="E28" s="36"/>
      <c r="F28" s="36"/>
      <c r="G28" s="36"/>
      <c r="H28" s="36"/>
    </row>
    <row r="29" spans="1:23" x14ac:dyDescent="0.25">
      <c r="B29" s="36"/>
      <c r="C29" s="36"/>
      <c r="D29" s="36"/>
      <c r="E29" s="36"/>
      <c r="F29" s="36"/>
      <c r="G29" s="36"/>
      <c r="H29" s="36"/>
    </row>
    <row r="30" spans="1:23" x14ac:dyDescent="0.25">
      <c r="B30" s="36"/>
      <c r="C30" s="36"/>
      <c r="D30" s="36"/>
      <c r="E30" s="36"/>
      <c r="F30" s="36"/>
      <c r="G30" s="36"/>
      <c r="H30" s="36"/>
    </row>
    <row r="31" spans="1:23" x14ac:dyDescent="0.25">
      <c r="B31" s="36"/>
      <c r="C31" s="36"/>
      <c r="D31" s="36"/>
      <c r="E31" s="36"/>
      <c r="F31" s="36"/>
      <c r="G31" s="36"/>
      <c r="H31" s="36"/>
    </row>
    <row r="32" spans="1:23" x14ac:dyDescent="0.25">
      <c r="B32" s="36"/>
      <c r="C32" s="36"/>
      <c r="D32" s="36"/>
      <c r="E32" s="36"/>
      <c r="F32" s="36"/>
      <c r="G32" s="36"/>
      <c r="H32" s="36"/>
    </row>
    <row r="33" spans="2:8" x14ac:dyDescent="0.25">
      <c r="B33" s="36"/>
      <c r="C33" s="36"/>
      <c r="D33" s="36"/>
      <c r="E33" s="36"/>
      <c r="F33" s="36"/>
      <c r="G33" s="36"/>
      <c r="H33" s="36"/>
    </row>
    <row r="34" spans="2:8" x14ac:dyDescent="0.25">
      <c r="B34" s="36"/>
      <c r="C34" s="36"/>
      <c r="D34" s="36"/>
      <c r="E34" s="36"/>
      <c r="F34" s="36"/>
      <c r="G34" s="36"/>
      <c r="H34" s="36"/>
    </row>
    <row r="35" spans="2:8" x14ac:dyDescent="0.25">
      <c r="B35" s="36"/>
      <c r="C35" s="36"/>
      <c r="D35" s="36"/>
      <c r="E35" s="36"/>
      <c r="F35" s="36"/>
      <c r="G35" s="36"/>
      <c r="H35" s="36"/>
    </row>
    <row r="36" spans="2:8" x14ac:dyDescent="0.25">
      <c r="B36" s="36"/>
      <c r="C36" s="36"/>
      <c r="D36" s="36"/>
      <c r="E36" s="36"/>
      <c r="F36" s="36"/>
      <c r="G36" s="36"/>
      <c r="H36" s="36"/>
    </row>
  </sheetData>
  <dataConsolidate/>
  <mergeCells count="26">
    <mergeCell ref="E8:F8"/>
    <mergeCell ref="E25:F25"/>
    <mergeCell ref="E10:F10"/>
    <mergeCell ref="E11:F11"/>
    <mergeCell ref="E12:F12"/>
    <mergeCell ref="E16:F16"/>
    <mergeCell ref="E14:F14"/>
    <mergeCell ref="E13:F13"/>
    <mergeCell ref="E22:F22"/>
    <mergeCell ref="E15:F15"/>
    <mergeCell ref="K3:L3"/>
    <mergeCell ref="K24:L24"/>
    <mergeCell ref="E24:F24"/>
    <mergeCell ref="E23:F23"/>
    <mergeCell ref="K15:L15"/>
    <mergeCell ref="K16:L16"/>
    <mergeCell ref="H18:I18"/>
    <mergeCell ref="H19:I19"/>
    <mergeCell ref="D19:F19"/>
    <mergeCell ref="H7:I7"/>
    <mergeCell ref="H16:I16"/>
    <mergeCell ref="H17:I17"/>
    <mergeCell ref="H20:I20"/>
    <mergeCell ref="H21:I21"/>
    <mergeCell ref="H15:I15"/>
    <mergeCell ref="E7:F7"/>
  </mergeCells>
  <dataValidations disablePrompts="1" count="6">
    <dataValidation type="decimal" allowBlank="1" showInputMessage="1" showErrorMessage="1" sqref="H7:I7 E7:F7">
      <formula1>1</formula1>
      <formula2>7</formula2>
    </dataValidation>
    <dataValidation type="decimal" allowBlank="1" showInputMessage="1" showErrorMessage="1" sqref="H8">
      <formula1>30</formula1>
      <formula2>999</formula2>
    </dataValidation>
    <dataValidation type="decimal" allowBlank="1" showInputMessage="1" showErrorMessage="1" sqref="E9">
      <formula1>0</formula1>
      <formula2>1000</formula2>
    </dataValidation>
    <dataValidation type="decimal" allowBlank="1" showInputMessage="1" showErrorMessage="1" sqref="H22:H23">
      <formula1>0</formula1>
      <formula2>10</formula2>
    </dataValidation>
    <dataValidation type="whole" allowBlank="1" showInputMessage="1" showErrorMessage="1" sqref="H16:I21">
      <formula1>0</formula1>
      <formula2>10</formula2>
    </dataValidation>
    <dataValidation type="decimal" allowBlank="1" showInputMessage="1" showErrorMessage="1" sqref="H24">
      <formula1>0</formula1>
      <formula2>C3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DataValidation!$A$1:$A$2</xm:f>
          </x14:formula1>
          <xm:sqref>E24:F24 E10:F10 E8:F8 E26 H26 H15:I15 K3:L3 H4:L4</xm:sqref>
        </x14:dataValidation>
        <x14:dataValidation type="list" allowBlank="1" showInputMessage="1" showErrorMessage="1">
          <x14:formula1>
            <xm:f>DataValidation!$C$1:$C$3</xm:f>
          </x14:formula1>
          <xm:sqref>E25</xm:sqref>
        </x14:dataValidation>
        <x14:dataValidation type="list" allowBlank="1" showInputMessage="1" showErrorMessage="1">
          <x14:formula1>
            <xm:f>DataValidation!$D$1:$D$2</xm:f>
          </x14:formula1>
          <xm:sqref>E22:F23</xm:sqref>
        </x14:dataValidation>
        <x14:dataValidation type="list" allowBlank="1" showInputMessage="1" showErrorMessage="1">
          <x14:formula1>
            <xm:f>DataValidation!$E$1:$E$3</xm:f>
          </x14:formula1>
          <xm:sqref>K24:L24</xm:sqref>
        </x14:dataValidation>
        <x14:dataValidation type="list" allowBlank="1" showInputMessage="1" showErrorMessage="1">
          <x14:formula1>
            <xm:f>DataValidation!$F$1:$F$5</xm:f>
          </x14:formula1>
          <xm:sqref>E15:F16</xm:sqref>
        </x14:dataValidation>
        <x14:dataValidation type="list" allowBlank="1" showInputMessage="1" showErrorMessage="1">
          <x14:formula1>
            <xm:f>DataValidation!$G$1:$G$10</xm:f>
          </x14:formula1>
          <xm:sqref>E11:F14</xm:sqref>
        </x14:dataValidation>
        <x14:dataValidation type="list" allowBlank="1" showInputMessage="1" showErrorMessage="1">
          <x14:formula1>
            <xm:f>DataValidation!$H$1:$H$3</xm:f>
          </x14:formula1>
          <xm:sqref>K15:L16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5"/>
  <sheetViews>
    <sheetView showGridLines="0" tabSelected="1" zoomScale="85" zoomScaleNormal="85" workbookViewId="0">
      <pane ySplit="5" topLeftCell="A6" activePane="bottomLeft" state="frozen"/>
      <selection pane="bottomLeft" activeCell="Y13" sqref="Y13"/>
    </sheetView>
  </sheetViews>
  <sheetFormatPr defaultColWidth="8.85546875" defaultRowHeight="15.75" x14ac:dyDescent="0.25"/>
  <cols>
    <col min="1" max="1" width="3.28515625" style="1" customWidth="1"/>
    <col min="2" max="2" width="21" style="1" bestFit="1" customWidth="1"/>
    <col min="3" max="3" width="5.5703125" style="1" bestFit="1" customWidth="1"/>
    <col min="4" max="4" width="34.28515625" style="1" bestFit="1" customWidth="1"/>
    <col min="5" max="5" width="13.28515625" style="1" customWidth="1"/>
    <col min="6" max="6" width="5.140625" style="1" bestFit="1" customWidth="1"/>
    <col min="7" max="7" width="32.7109375" style="1" customWidth="1"/>
    <col min="8" max="8" width="13.28515625" style="1" customWidth="1"/>
    <col min="9" max="9" width="5.140625" style="1" customWidth="1"/>
    <col min="10" max="10" width="24.140625" style="1" bestFit="1" customWidth="1"/>
    <col min="11" max="11" width="8.28515625" style="1" customWidth="1"/>
    <col min="12" max="12" width="3.85546875" style="1" customWidth="1"/>
    <col min="13" max="13" width="11.7109375" style="1" customWidth="1"/>
    <col min="14" max="14" width="12.42578125" style="1" customWidth="1"/>
    <col min="15" max="15" width="1.7109375" style="4" customWidth="1"/>
    <col min="16" max="16" width="9.7109375" style="5" customWidth="1"/>
    <col min="17" max="17" width="2.42578125" style="5" customWidth="1"/>
    <col min="18" max="18" width="0.7109375" style="5" customWidth="1"/>
    <col min="19" max="19" width="5.140625" style="4" customWidth="1"/>
    <col min="20" max="20" width="5.7109375" style="7" customWidth="1"/>
    <col min="21" max="21" width="1.5703125" style="7" bestFit="1" customWidth="1"/>
    <col min="22" max="22" width="4" style="4" bestFit="1" customWidth="1"/>
    <col min="23" max="23" width="8.85546875" style="4"/>
    <col min="24" max="16384" width="8.85546875" style="1"/>
  </cols>
  <sheetData>
    <row r="1" spans="1:26" x14ac:dyDescent="0.25">
      <c r="A1" s="8" t="s">
        <v>145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6" x14ac:dyDescent="0.25">
      <c r="A2" s="8"/>
      <c r="B2" s="146" t="s">
        <v>124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6" s="7" customFormat="1" ht="47.25" x14ac:dyDescent="0.25">
      <c r="A3" s="58"/>
      <c r="B3" s="59" t="s">
        <v>116</v>
      </c>
      <c r="C3" s="275">
        <v>2300</v>
      </c>
      <c r="D3" s="30" t="s">
        <v>148</v>
      </c>
      <c r="E3" s="31">
        <v>0</v>
      </c>
      <c r="F3" s="32" t="s">
        <v>28</v>
      </c>
      <c r="G3" s="30" t="s">
        <v>32</v>
      </c>
      <c r="H3" s="31">
        <v>80</v>
      </c>
      <c r="I3" s="32" t="s">
        <v>28</v>
      </c>
      <c r="J3" s="30" t="s">
        <v>33</v>
      </c>
      <c r="K3" s="332" t="s">
        <v>16</v>
      </c>
      <c r="L3" s="333"/>
      <c r="M3" s="271" t="s">
        <v>114</v>
      </c>
      <c r="N3" s="272">
        <f>IF(E3&gt;20,E3,IF(K3="yes",H3,IF(K3="no",H3+20,"FALSE")))</f>
        <v>80</v>
      </c>
      <c r="O3" s="273" t="s">
        <v>28</v>
      </c>
      <c r="P3" s="274"/>
      <c r="Q3" s="274"/>
      <c r="R3" s="312"/>
      <c r="S3" s="312"/>
      <c r="T3" s="5"/>
      <c r="U3" s="5"/>
      <c r="V3" s="4"/>
      <c r="W3" s="4"/>
      <c r="Y3" s="4"/>
      <c r="Z3" s="4"/>
    </row>
    <row r="4" spans="1:26" s="270" customFormat="1" ht="16.5" thickBot="1" x14ac:dyDescent="0.3">
      <c r="A4" s="51"/>
      <c r="B4" s="52"/>
      <c r="C4" s="51"/>
      <c r="D4" s="266"/>
      <c r="E4" s="268"/>
      <c r="F4" s="267"/>
      <c r="G4" s="266"/>
      <c r="H4" s="104"/>
      <c r="I4" s="104"/>
      <c r="J4" s="104"/>
      <c r="K4" s="104"/>
      <c r="L4" s="104"/>
      <c r="M4" s="105"/>
      <c r="N4" s="106"/>
      <c r="O4" s="269"/>
      <c r="P4" s="55"/>
      <c r="Q4" s="55"/>
      <c r="R4" s="55"/>
      <c r="S4" s="269"/>
      <c r="V4" s="269"/>
      <c r="W4" s="269"/>
    </row>
    <row r="5" spans="1:26" s="2" customFormat="1" ht="16.5" thickBot="1" x14ac:dyDescent="0.3">
      <c r="A5" s="10" t="s">
        <v>11</v>
      </c>
      <c r="B5" s="11" t="s">
        <v>13</v>
      </c>
      <c r="C5" s="11" t="s">
        <v>4</v>
      </c>
      <c r="D5" s="89" t="s">
        <v>14</v>
      </c>
      <c r="E5" s="90" t="s">
        <v>12</v>
      </c>
      <c r="F5" s="91"/>
      <c r="G5" s="89" t="s">
        <v>38</v>
      </c>
      <c r="H5" s="90" t="s">
        <v>39</v>
      </c>
      <c r="I5" s="91"/>
      <c r="J5" s="89" t="s">
        <v>40</v>
      </c>
      <c r="K5" s="90" t="s">
        <v>41</v>
      </c>
      <c r="L5" s="91"/>
      <c r="M5" s="11" t="s">
        <v>0</v>
      </c>
      <c r="N5" s="12" t="s">
        <v>1</v>
      </c>
      <c r="O5" s="37"/>
      <c r="P5" s="66"/>
      <c r="Q5" s="66"/>
      <c r="R5" s="66"/>
      <c r="S5" s="37"/>
      <c r="T5" s="107">
        <f>E26</f>
        <v>70.346411206523712</v>
      </c>
      <c r="U5" s="108" t="s">
        <v>44</v>
      </c>
      <c r="V5" s="109">
        <v>100</v>
      </c>
      <c r="W5" s="37"/>
    </row>
    <row r="6" spans="1:26" s="4" customFormat="1" x14ac:dyDescent="0.25">
      <c r="A6" s="201">
        <v>1</v>
      </c>
      <c r="B6" s="202" t="s">
        <v>2</v>
      </c>
      <c r="C6" s="203" t="s">
        <v>5</v>
      </c>
      <c r="D6" s="204" t="s">
        <v>29</v>
      </c>
      <c r="E6" s="205">
        <v>3.25</v>
      </c>
      <c r="F6" s="206" t="s">
        <v>9</v>
      </c>
      <c r="G6" s="207"/>
      <c r="H6" s="208"/>
      <c r="I6" s="209"/>
      <c r="J6" s="210"/>
      <c r="K6" s="211"/>
      <c r="L6" s="209"/>
      <c r="M6" s="212">
        <f>IF(E6&gt;=3.4,1,IF(E6&gt;=3.15,1.021,IF(E6&gt;=2.7,1.08,1.12)))</f>
        <v>1.0209999999999999</v>
      </c>
      <c r="N6" s="213">
        <f>1/M6</f>
        <v>0.97943192948090119</v>
      </c>
      <c r="P6" s="5"/>
      <c r="Q6" s="5"/>
      <c r="R6" s="5"/>
      <c r="T6" s="7"/>
      <c r="U6" s="7"/>
    </row>
    <row r="7" spans="1:26" s="7" customFormat="1" x14ac:dyDescent="0.25">
      <c r="A7" s="236">
        <v>2</v>
      </c>
      <c r="B7" s="59" t="s">
        <v>10</v>
      </c>
      <c r="C7" s="58" t="s">
        <v>6</v>
      </c>
      <c r="D7" s="183" t="s">
        <v>125</v>
      </c>
      <c r="E7" s="324">
        <v>3</v>
      </c>
      <c r="F7" s="325"/>
      <c r="G7" s="184"/>
      <c r="H7" s="245"/>
      <c r="I7" s="187"/>
      <c r="J7" s="237"/>
      <c r="K7" s="264"/>
      <c r="L7" s="265"/>
      <c r="M7" s="240">
        <f>MAX(1,EXP(-0.6869+0.0668*E7)/EXP(-0.4865))</f>
        <v>1</v>
      </c>
      <c r="N7" s="241">
        <f>1/M7</f>
        <v>1</v>
      </c>
      <c r="P7" s="292"/>
      <c r="Q7" s="292"/>
      <c r="R7" s="292"/>
    </row>
    <row r="8" spans="1:26" s="4" customFormat="1" ht="31.5" x14ac:dyDescent="0.25">
      <c r="A8" s="236">
        <v>3</v>
      </c>
      <c r="B8" s="59" t="s">
        <v>3</v>
      </c>
      <c r="C8" s="58" t="s">
        <v>7</v>
      </c>
      <c r="D8" s="242" t="s">
        <v>57</v>
      </c>
      <c r="E8" s="324" t="s">
        <v>16</v>
      </c>
      <c r="F8" s="325"/>
      <c r="G8" s="183" t="str">
        <f>IF($E$8="yes","Radius of sharpest curve in segment (R&lt;1.000m):","")</f>
        <v>Radius of sharpest curve in segment (R&lt;1.000m):</v>
      </c>
      <c r="H8" s="243">
        <v>600</v>
      </c>
      <c r="I8" s="32" t="str">
        <f>IF($E$8="yes","m","")</f>
        <v>m</v>
      </c>
      <c r="J8" s="185"/>
      <c r="K8" s="186"/>
      <c r="L8" s="187"/>
      <c r="M8" s="244">
        <f>IF(E8="no",1,1+0.7937*((0.09134*$N$3)^4)*((0.9134*$N$3)^2)/(32.2*(1.5*$H$8/0.3048)^2))</f>
        <v>1.0430379305739896</v>
      </c>
      <c r="N8" s="241">
        <f>1/M8</f>
        <v>0.95873790462221675</v>
      </c>
      <c r="O8" s="5"/>
      <c r="T8" s="7"/>
      <c r="U8" s="7"/>
    </row>
    <row r="9" spans="1:26" s="4" customFormat="1" ht="31.5" x14ac:dyDescent="0.25">
      <c r="A9" s="236">
        <v>4</v>
      </c>
      <c r="B9" s="59" t="s">
        <v>25</v>
      </c>
      <c r="C9" s="58" t="s">
        <v>26</v>
      </c>
      <c r="D9" s="183" t="s">
        <v>131</v>
      </c>
      <c r="E9" s="243">
        <v>2</v>
      </c>
      <c r="F9" s="32" t="s">
        <v>59</v>
      </c>
      <c r="G9" s="184"/>
      <c r="H9" s="245"/>
      <c r="I9" s="187"/>
      <c r="J9" s="185"/>
      <c r="K9" s="186"/>
      <c r="L9" s="187"/>
      <c r="M9" s="244">
        <f>IF($E$9&gt;15,2,VLOOKUP($E$9,LookupTables!G3:H18,2))</f>
        <v>1.093</v>
      </c>
      <c r="N9" s="241">
        <f>1/M9</f>
        <v>0.91491308325709064</v>
      </c>
      <c r="P9" s="5"/>
      <c r="Q9" s="5"/>
      <c r="R9" s="5"/>
      <c r="T9" s="7"/>
      <c r="U9" s="7"/>
    </row>
    <row r="10" spans="1:26" s="4" customFormat="1" x14ac:dyDescent="0.25">
      <c r="A10" s="24">
        <v>5</v>
      </c>
      <c r="B10" s="25" t="s">
        <v>45</v>
      </c>
      <c r="C10" s="26" t="s">
        <v>27</v>
      </c>
      <c r="D10" s="153" t="s">
        <v>82</v>
      </c>
      <c r="E10" s="322" t="s">
        <v>16</v>
      </c>
      <c r="F10" s="323"/>
      <c r="G10" s="153" t="s">
        <v>48</v>
      </c>
      <c r="H10" s="276">
        <f>C3</f>
        <v>2300</v>
      </c>
      <c r="I10" s="155" t="s">
        <v>9</v>
      </c>
      <c r="J10" s="254"/>
      <c r="K10" s="255"/>
      <c r="L10" s="256"/>
      <c r="M10" s="124">
        <f>IF(SUM($H$11:$H$14)&gt;$H$10,FALSE,IF($E$10="no",1,(($H$10-SUM($H$11:$H$14))*1+$H$11*$M$11+$H$12*$M$12+$H$13*$M$13+$H$14*$M$14)/$H$10))</f>
        <v>1</v>
      </c>
      <c r="N10" s="28">
        <f>1/M10</f>
        <v>1</v>
      </c>
      <c r="P10" s="5"/>
      <c r="Q10" s="5"/>
      <c r="R10" s="5"/>
      <c r="T10" s="7"/>
      <c r="U10" s="7"/>
    </row>
    <row r="11" spans="1:26" s="4" customFormat="1" ht="31.5" customHeight="1" x14ac:dyDescent="0.25">
      <c r="A11" s="92"/>
      <c r="B11" s="102"/>
      <c r="C11" s="103"/>
      <c r="D11" s="235" t="str">
        <f>IF($E$10="yes","Junction no.1 type:","")</f>
        <v>Junction no.1 type:</v>
      </c>
      <c r="E11" s="330" t="s">
        <v>87</v>
      </c>
      <c r="F11" s="340"/>
      <c r="G11" s="235" t="str">
        <f>IF($E$10="yes","Junction no.1 length within segment:","")</f>
        <v>Junction no.1 length within segment:</v>
      </c>
      <c r="H11" s="135">
        <v>300</v>
      </c>
      <c r="I11" s="13" t="s">
        <v>9</v>
      </c>
      <c r="J11" s="251"/>
      <c r="K11" s="258"/>
      <c r="L11" s="259" t="s">
        <v>107</v>
      </c>
      <c r="M11" s="260">
        <f>IF(E11="",1,VLOOKUP(E11,LookupTables!$R$3:$S$12,2,FALSE))</f>
        <v>1</v>
      </c>
      <c r="N11" s="252"/>
      <c r="P11" s="5"/>
      <c r="Q11" s="5"/>
      <c r="R11" s="5"/>
      <c r="T11" s="7"/>
      <c r="U11" s="7"/>
    </row>
    <row r="12" spans="1:26" s="4" customFormat="1" ht="31.5" customHeight="1" x14ac:dyDescent="0.25">
      <c r="A12" s="92"/>
      <c r="B12" s="102"/>
      <c r="C12" s="103"/>
      <c r="D12" s="235" t="str">
        <f>IF($E$10="yes","Junction no.2 type:","")</f>
        <v>Junction no.2 type:</v>
      </c>
      <c r="E12" s="330"/>
      <c r="F12" s="340"/>
      <c r="G12" s="235" t="str">
        <f>IF($E$10="yes","Junction no.2 length within segment:","")</f>
        <v>Junction no.2 length within segment:</v>
      </c>
      <c r="H12" s="135"/>
      <c r="I12" s="13" t="s">
        <v>9</v>
      </c>
      <c r="J12" s="251"/>
      <c r="K12" s="258"/>
      <c r="L12" s="259" t="s">
        <v>108</v>
      </c>
      <c r="M12" s="260">
        <f>IF(E12="",1,VLOOKUP(E12,LookupTables!$R$3:$S$12,2,FALSE))</f>
        <v>1</v>
      </c>
      <c r="N12" s="252"/>
      <c r="P12" s="5"/>
      <c r="Q12" s="5"/>
      <c r="R12" s="5"/>
      <c r="T12" s="7"/>
      <c r="U12" s="7"/>
    </row>
    <row r="13" spans="1:26" s="4" customFormat="1" ht="31.5" customHeight="1" x14ac:dyDescent="0.25">
      <c r="A13" s="92"/>
      <c r="B13" s="102"/>
      <c r="C13" s="103"/>
      <c r="D13" s="235" t="str">
        <f>IF($E$10="yes","Junction no.3 type:","")</f>
        <v>Junction no.3 type:</v>
      </c>
      <c r="E13" s="330"/>
      <c r="F13" s="340"/>
      <c r="G13" s="235" t="str">
        <f>IF($E$10="yes","Junction no.3 length within segment:","")</f>
        <v>Junction no.3 length within segment:</v>
      </c>
      <c r="H13" s="135"/>
      <c r="I13" s="13" t="s">
        <v>9</v>
      </c>
      <c r="J13" s="251"/>
      <c r="K13" s="258"/>
      <c r="L13" s="259" t="s">
        <v>109</v>
      </c>
      <c r="M13" s="260">
        <f>IF(E13="",1,VLOOKUP(E13,LookupTables!$R$3:$S$12,2,FALSE))</f>
        <v>1</v>
      </c>
      <c r="N13" s="252"/>
      <c r="P13" s="5"/>
      <c r="Q13" s="5"/>
      <c r="R13" s="5"/>
      <c r="T13" s="7"/>
      <c r="U13" s="7"/>
    </row>
    <row r="14" spans="1:26" s="4" customFormat="1" ht="31.5" customHeight="1" x14ac:dyDescent="0.25">
      <c r="A14" s="126"/>
      <c r="B14" s="127"/>
      <c r="C14" s="128"/>
      <c r="D14" s="257" t="str">
        <f>IF($E$10="yes","Junction no.4 type:","")</f>
        <v>Junction no.4 type:</v>
      </c>
      <c r="E14" s="326"/>
      <c r="F14" s="348"/>
      <c r="G14" s="257" t="str">
        <f>IF($E$10="yes","Junction no.4 length within segment:","")</f>
        <v>Junction no.4 length within segment:</v>
      </c>
      <c r="H14" s="136"/>
      <c r="I14" s="29" t="s">
        <v>9</v>
      </c>
      <c r="J14" s="175"/>
      <c r="K14" s="261"/>
      <c r="L14" s="262" t="s">
        <v>110</v>
      </c>
      <c r="M14" s="263">
        <f>IF(E14="",1,VLOOKUP(E14,LookupTables!$R$3:$S$12,2,FALSE))</f>
        <v>1</v>
      </c>
      <c r="N14" s="253"/>
      <c r="P14" s="5"/>
      <c r="Q14" s="5"/>
      <c r="R14" s="5"/>
      <c r="T14" s="7"/>
      <c r="U14" s="7"/>
    </row>
    <row r="15" spans="1:26" s="4" customFormat="1" ht="47.25" customHeight="1" x14ac:dyDescent="0.25">
      <c r="A15" s="24">
        <v>6</v>
      </c>
      <c r="B15" s="25" t="s">
        <v>47</v>
      </c>
      <c r="C15" s="26" t="s">
        <v>46</v>
      </c>
      <c r="D15" s="153" t="s">
        <v>146</v>
      </c>
      <c r="E15" s="338" t="s">
        <v>78</v>
      </c>
      <c r="F15" s="339"/>
      <c r="G15" s="153" t="s">
        <v>132</v>
      </c>
      <c r="H15" s="322" t="s">
        <v>16</v>
      </c>
      <c r="I15" s="323"/>
      <c r="J15" s="153" t="s">
        <v>147</v>
      </c>
      <c r="K15" s="338" t="s">
        <v>138</v>
      </c>
      <c r="L15" s="339"/>
      <c r="M15" s="141">
        <f>(3.1*M19+8.8*M18)/(3.1+8.8)</f>
        <v>1.1543204238217026</v>
      </c>
      <c r="N15" s="28">
        <f>1/M15</f>
        <v>0.86631058358061319</v>
      </c>
      <c r="P15" s="68"/>
      <c r="Q15" s="68"/>
      <c r="R15" s="5"/>
      <c r="T15" s="7"/>
      <c r="U15" s="7"/>
    </row>
    <row r="16" spans="1:26" s="4" customFormat="1" ht="31.5" x14ac:dyDescent="0.25">
      <c r="A16" s="92"/>
      <c r="B16" s="102"/>
      <c r="C16" s="103"/>
      <c r="D16" s="84"/>
      <c r="E16" s="120"/>
      <c r="F16" s="121"/>
      <c r="G16" s="235" t="str">
        <f>IF($H$15="yes","No. of grade separated pedestrian crossings in segment:","")</f>
        <v>No. of grade separated pedestrian crossings in segment:</v>
      </c>
      <c r="H16" s="341">
        <v>0</v>
      </c>
      <c r="I16" s="342"/>
      <c r="J16" s="93"/>
      <c r="K16" s="94"/>
      <c r="L16" s="95"/>
      <c r="M16" s="301"/>
      <c r="N16" s="302"/>
      <c r="P16" s="68"/>
      <c r="Q16" s="68"/>
      <c r="R16" s="5"/>
      <c r="T16" s="7"/>
      <c r="U16" s="7"/>
    </row>
    <row r="17" spans="1:23" s="4" customFormat="1" ht="31.5" x14ac:dyDescent="0.25">
      <c r="A17" s="115"/>
      <c r="B17" s="119"/>
      <c r="C17" s="116"/>
      <c r="D17" s="84"/>
      <c r="E17" s="120"/>
      <c r="F17" s="121"/>
      <c r="G17" s="235" t="str">
        <f>IF($H$15="yes","No. of signalized at-grade pedestrian crossings with refuge:","")</f>
        <v>No. of signalized at-grade pedestrian crossings with refuge:</v>
      </c>
      <c r="H17" s="341">
        <v>2</v>
      </c>
      <c r="I17" s="342"/>
      <c r="J17" s="93"/>
      <c r="K17" s="94"/>
      <c r="L17" s="95"/>
      <c r="M17" s="303"/>
      <c r="N17" s="117"/>
      <c r="P17" s="68"/>
      <c r="Q17" s="68"/>
      <c r="R17" s="5"/>
      <c r="T17" s="7"/>
      <c r="U17" s="7"/>
    </row>
    <row r="18" spans="1:23" s="4" customFormat="1" ht="31.5" x14ac:dyDescent="0.25">
      <c r="A18" s="115"/>
      <c r="B18" s="119"/>
      <c r="C18" s="116"/>
      <c r="D18" s="84"/>
      <c r="E18" s="120"/>
      <c r="F18" s="121"/>
      <c r="G18" s="235" t="str">
        <f>IF($H$15="yes","No. of signalized at-grade pedestrian crossings without refuge:","")</f>
        <v>No. of signalized at-grade pedestrian crossings without refuge:</v>
      </c>
      <c r="H18" s="341">
        <v>0</v>
      </c>
      <c r="I18" s="342"/>
      <c r="J18" s="93"/>
      <c r="K18" s="304"/>
      <c r="L18" s="305" t="s">
        <v>140</v>
      </c>
      <c r="M18" s="306">
        <f>IF($E$15="dedicated bicyclist lane on roadway",12,IF($E$15="wide paved shoulder (width &gt; 1m)",17, IF($E$15="no facility - bicyclists on traffic lanes or narrow shoulder",20,1)))</f>
        <v>1</v>
      </c>
      <c r="N18" s="117"/>
      <c r="P18" s="68"/>
      <c r="Q18" s="68"/>
      <c r="R18" s="5"/>
      <c r="T18" s="7"/>
      <c r="U18" s="7"/>
    </row>
    <row r="19" spans="1:23" s="4" customFormat="1" ht="31.5" x14ac:dyDescent="0.25">
      <c r="A19" s="115"/>
      <c r="B19" s="119"/>
      <c r="C19" s="116"/>
      <c r="D19" s="343" t="s">
        <v>142</v>
      </c>
      <c r="E19" s="344"/>
      <c r="F19" s="345"/>
      <c r="G19" s="235" t="str">
        <f>IF($H$15="yes","No. of unsignalized marked pedestrian crossings with refuge:","")</f>
        <v>No. of unsignalized marked pedestrian crossings with refuge:</v>
      </c>
      <c r="H19" s="341">
        <v>1</v>
      </c>
      <c r="I19" s="342"/>
      <c r="J19" s="93"/>
      <c r="K19" s="304"/>
      <c r="L19" s="305" t="s">
        <v>141</v>
      </c>
      <c r="M19" s="306">
        <f>AVERAGE(M20:M21)</f>
        <v>1.5923913043478262</v>
      </c>
      <c r="N19" s="117"/>
      <c r="P19" s="68"/>
      <c r="Q19" s="68"/>
      <c r="R19" s="5"/>
      <c r="T19" s="7"/>
      <c r="U19" s="7"/>
    </row>
    <row r="20" spans="1:23" s="4" customFormat="1" ht="31.5" x14ac:dyDescent="0.25">
      <c r="A20" s="115"/>
      <c r="B20" s="119"/>
      <c r="C20" s="116"/>
      <c r="D20" s="84"/>
      <c r="E20" s="120"/>
      <c r="F20" s="121"/>
      <c r="G20" s="235" t="str">
        <f>IF($H$15="yes","No. of unsignalized marked pedestrian crossings without refuge:","")</f>
        <v>No. of unsignalized marked pedestrian crossings without refuge:</v>
      </c>
      <c r="H20" s="341">
        <v>0</v>
      </c>
      <c r="I20" s="342"/>
      <c r="J20" s="93"/>
      <c r="K20" s="304"/>
      <c r="L20" s="305" t="s">
        <v>143</v>
      </c>
      <c r="M20" s="306">
        <f>IF(SUM($H$16:$I$21)*100&gt;$C$3,FALSE,IF($H$15="no",1,IF($H$3&gt;70,(($C$3-100*SUM($H$16:$I$21))*1+100*($H$16*1+$H$17*2.5+$H$18*3.1+$H$19*9.5+$H$20*12+$H$21*16.75))/$C$3,(($C$3-100*SUM($H$16:$I$21))*1+100*($H$16*1+$H$17*2+$H$18*2.5+$H$19*8+$H$20*10+$H$21*12))/$C$3)))</f>
        <v>2.1847826086956523</v>
      </c>
      <c r="N20" s="117"/>
      <c r="P20" s="68"/>
      <c r="Q20" s="68"/>
      <c r="R20" s="5"/>
      <c r="T20" s="7"/>
      <c r="U20" s="7"/>
    </row>
    <row r="21" spans="1:23" s="4" customFormat="1" ht="31.5" x14ac:dyDescent="0.25">
      <c r="A21" s="198"/>
      <c r="B21" s="246"/>
      <c r="C21" s="199"/>
      <c r="D21" s="200"/>
      <c r="E21" s="247"/>
      <c r="F21" s="248"/>
      <c r="G21" s="257" t="str">
        <f>IF($H$15="yes","No. of pedestrian crossing locations without any arrangement:","")</f>
        <v>No. of pedestrian crossing locations without any arrangement:</v>
      </c>
      <c r="H21" s="336">
        <v>1</v>
      </c>
      <c r="I21" s="337"/>
      <c r="J21" s="122"/>
      <c r="K21" s="304"/>
      <c r="L21" s="305" t="s">
        <v>144</v>
      </c>
      <c r="M21" s="306">
        <f>IF($K$15="no facility for pedestrians walking along",20,IF($K$15="segregated - protected pedestrian path",1,1))</f>
        <v>1</v>
      </c>
      <c r="N21" s="249"/>
      <c r="P21" s="68"/>
      <c r="Q21" s="68"/>
      <c r="R21" s="5"/>
      <c r="T21" s="7"/>
      <c r="U21" s="7"/>
    </row>
    <row r="22" spans="1:23" s="4" customFormat="1" x14ac:dyDescent="0.25">
      <c r="A22" s="180">
        <v>7</v>
      </c>
      <c r="B22" s="181" t="s">
        <v>65</v>
      </c>
      <c r="C22" s="182" t="s">
        <v>52</v>
      </c>
      <c r="D22" s="183" t="s">
        <v>128</v>
      </c>
      <c r="E22" s="324" t="s">
        <v>64</v>
      </c>
      <c r="F22" s="325"/>
      <c r="G22" s="183" t="s">
        <v>129</v>
      </c>
      <c r="H22" s="293">
        <v>1.85</v>
      </c>
      <c r="I22" s="32" t="s">
        <v>9</v>
      </c>
      <c r="J22" s="185"/>
      <c r="K22" s="186"/>
      <c r="L22" s="187"/>
      <c r="M22" s="240">
        <f>IF($E$22="paved",VLOOKUP($H$22,LookupTables!K21:L26,2),IF($E$22="unpaved",VLOOKUP($H$22,LookupTables!O21:P26,2)))</f>
        <v>1.0580000000000001</v>
      </c>
      <c r="N22" s="241">
        <f>1/M22</f>
        <v>0.94517958412098291</v>
      </c>
      <c r="P22" s="5"/>
      <c r="Q22" s="5"/>
      <c r="R22" s="5"/>
      <c r="T22" s="7"/>
      <c r="U22" s="7"/>
    </row>
    <row r="23" spans="1:23" s="4" customFormat="1" x14ac:dyDescent="0.25">
      <c r="A23" s="294">
        <v>8</v>
      </c>
      <c r="B23" s="295" t="s">
        <v>51</v>
      </c>
      <c r="C23" s="296" t="s">
        <v>53</v>
      </c>
      <c r="D23" s="300" t="s">
        <v>130</v>
      </c>
      <c r="E23" s="351"/>
      <c r="F23" s="352"/>
      <c r="G23" s="230"/>
      <c r="H23" s="297"/>
      <c r="I23" s="224"/>
      <c r="J23" s="230"/>
      <c r="K23" s="349"/>
      <c r="L23" s="350"/>
      <c r="M23" s="298">
        <v>1</v>
      </c>
      <c r="N23" s="299">
        <f>1/M23</f>
        <v>1</v>
      </c>
      <c r="P23" s="5"/>
      <c r="Q23" s="5"/>
      <c r="R23" s="5"/>
      <c r="T23" s="7"/>
      <c r="U23" s="7"/>
    </row>
    <row r="24" spans="1:23" s="4" customFormat="1" ht="47.25" customHeight="1" thickBot="1" x14ac:dyDescent="0.3">
      <c r="A24" s="189">
        <v>9</v>
      </c>
      <c r="B24" s="190" t="s">
        <v>112</v>
      </c>
      <c r="C24" s="191" t="s">
        <v>36</v>
      </c>
      <c r="D24" s="192" t="s">
        <v>113</v>
      </c>
      <c r="E24" s="346" t="s">
        <v>54</v>
      </c>
      <c r="F24" s="347"/>
      <c r="G24" s="188"/>
      <c r="H24" s="310"/>
      <c r="I24" s="195"/>
      <c r="J24" s="193"/>
      <c r="K24" s="194"/>
      <c r="L24" s="195"/>
      <c r="M24" s="308" t="s">
        <v>15</v>
      </c>
      <c r="N24" s="309">
        <f>IF(E24="in place, high quality, good condition",1,IF(E24="in place, but poor quality or condition",0.95,IF(E24="critical signs/ markings missing",0.9,"")))</f>
        <v>1</v>
      </c>
      <c r="P24" s="5"/>
      <c r="Q24" s="5"/>
      <c r="R24" s="5"/>
      <c r="T24" s="7"/>
      <c r="U24" s="7"/>
    </row>
    <row r="25" spans="1:23" s="38" customFormat="1" x14ac:dyDescent="0.25">
      <c r="A25" s="51"/>
      <c r="B25" s="52"/>
      <c r="C25" s="51"/>
      <c r="D25" s="53"/>
      <c r="E25" s="54"/>
      <c r="F25" s="55"/>
      <c r="G25" s="53"/>
      <c r="H25" s="54"/>
      <c r="I25" s="55"/>
      <c r="J25" s="55"/>
      <c r="K25" s="55"/>
      <c r="L25" s="55"/>
      <c r="M25" s="56"/>
      <c r="N25" s="57"/>
      <c r="P25" s="232"/>
      <c r="Q25" s="5"/>
      <c r="R25" s="5"/>
      <c r="T25" s="233"/>
      <c r="U25" s="233"/>
    </row>
    <row r="26" spans="1:23" s="3" customFormat="1" ht="18" x14ac:dyDescent="0.25">
      <c r="B26" s="33"/>
      <c r="C26" s="33"/>
      <c r="D26" s="196" t="s">
        <v>101</v>
      </c>
      <c r="E26" s="61">
        <f>100*N6*N7*N8*N9*N10*N15*N22*N23*N24</f>
        <v>70.346411206523712</v>
      </c>
      <c r="F26" s="34" t="s">
        <v>44</v>
      </c>
      <c r="G26" s="35">
        <v>100</v>
      </c>
      <c r="H26" s="33"/>
      <c r="O26" s="39"/>
      <c r="P26" s="67"/>
      <c r="Q26" s="67"/>
      <c r="R26" s="67"/>
      <c r="S26" s="39"/>
      <c r="T26" s="234"/>
      <c r="U26" s="234"/>
      <c r="V26" s="39"/>
      <c r="W26" s="39"/>
    </row>
    <row r="27" spans="1:23" x14ac:dyDescent="0.25">
      <c r="B27" s="36"/>
      <c r="C27" s="36"/>
      <c r="D27" s="36"/>
      <c r="E27" s="36"/>
      <c r="F27" s="36"/>
      <c r="G27" s="36"/>
      <c r="H27" s="36"/>
    </row>
    <row r="28" spans="1:23" x14ac:dyDescent="0.25">
      <c r="B28" s="36"/>
      <c r="C28" s="36"/>
      <c r="D28" s="36"/>
      <c r="E28" s="36"/>
      <c r="F28" s="36"/>
      <c r="G28" s="36"/>
      <c r="H28" s="36"/>
    </row>
    <row r="29" spans="1:23" x14ac:dyDescent="0.25">
      <c r="B29" s="36"/>
      <c r="C29" s="36"/>
      <c r="D29" s="36"/>
      <c r="E29" s="36"/>
      <c r="F29" s="36"/>
      <c r="G29" s="36"/>
      <c r="H29" s="36"/>
    </row>
    <row r="30" spans="1:23" x14ac:dyDescent="0.25">
      <c r="B30" s="36"/>
      <c r="C30" s="36"/>
      <c r="D30" s="36"/>
      <c r="E30" s="36"/>
      <c r="F30" s="36"/>
      <c r="G30" s="36"/>
      <c r="H30" s="36"/>
    </row>
    <row r="31" spans="1:23" x14ac:dyDescent="0.25">
      <c r="B31" s="36"/>
      <c r="C31" s="36"/>
      <c r="D31" s="36"/>
      <c r="E31" s="36"/>
      <c r="F31" s="36"/>
      <c r="G31" s="36"/>
      <c r="H31" s="36"/>
    </row>
    <row r="32" spans="1:23" x14ac:dyDescent="0.25">
      <c r="B32" s="36"/>
      <c r="C32" s="36"/>
      <c r="D32" s="36"/>
      <c r="E32" s="36"/>
      <c r="F32" s="36"/>
      <c r="G32" s="36"/>
      <c r="H32" s="36"/>
    </row>
    <row r="33" spans="2:8" x14ac:dyDescent="0.25">
      <c r="B33" s="36"/>
      <c r="C33" s="36"/>
      <c r="D33" s="36"/>
      <c r="E33" s="36"/>
      <c r="F33" s="36"/>
      <c r="G33" s="36"/>
      <c r="H33" s="36"/>
    </row>
    <row r="34" spans="2:8" x14ac:dyDescent="0.25">
      <c r="B34" s="36"/>
      <c r="C34" s="36"/>
      <c r="D34" s="36"/>
      <c r="E34" s="36"/>
      <c r="F34" s="36"/>
      <c r="G34" s="36"/>
      <c r="H34" s="36"/>
    </row>
    <row r="35" spans="2:8" x14ac:dyDescent="0.25">
      <c r="B35" s="36"/>
      <c r="C35" s="36"/>
      <c r="D35" s="36"/>
      <c r="E35" s="36"/>
      <c r="F35" s="36"/>
      <c r="G35" s="36"/>
      <c r="H35" s="36"/>
    </row>
  </sheetData>
  <dataConsolidate/>
  <mergeCells count="22">
    <mergeCell ref="K3:L3"/>
    <mergeCell ref="E7:F7"/>
    <mergeCell ref="E8:F8"/>
    <mergeCell ref="E10:F10"/>
    <mergeCell ref="E11:F11"/>
    <mergeCell ref="E12:F12"/>
    <mergeCell ref="E13:F13"/>
    <mergeCell ref="E14:F14"/>
    <mergeCell ref="E15:F15"/>
    <mergeCell ref="H15:I15"/>
    <mergeCell ref="K23:L23"/>
    <mergeCell ref="E24:F24"/>
    <mergeCell ref="K15:L15"/>
    <mergeCell ref="H18:I18"/>
    <mergeCell ref="D19:F19"/>
    <mergeCell ref="H19:I19"/>
    <mergeCell ref="H17:I17"/>
    <mergeCell ref="H20:I20"/>
    <mergeCell ref="H21:I21"/>
    <mergeCell ref="E22:F22"/>
    <mergeCell ref="E23:F23"/>
    <mergeCell ref="H16:I16"/>
  </mergeCells>
  <dataValidations disablePrompts="1" count="5">
    <dataValidation type="whole" allowBlank="1" showInputMessage="1" showErrorMessage="1" sqref="H16:I21">
      <formula1>0</formula1>
      <formula2>10</formula2>
    </dataValidation>
    <dataValidation type="decimal" allowBlank="1" showInputMessage="1" showErrorMessage="1" sqref="H22">
      <formula1>0</formula1>
      <formula2>10</formula2>
    </dataValidation>
    <dataValidation type="decimal" allowBlank="1" showInputMessage="1" showErrorMessage="1" sqref="E9">
      <formula1>0</formula1>
      <formula2>1000</formula2>
    </dataValidation>
    <dataValidation type="decimal" allowBlank="1" showInputMessage="1" showErrorMessage="1" sqref="H8">
      <formula1>30</formula1>
      <formula2>999</formula2>
    </dataValidation>
    <dataValidation type="decimal" allowBlank="1" showInputMessage="1" showErrorMessage="1" sqref="E7:F7">
      <formula1>1</formula1>
      <formula2>7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DataValidation!$G$1:$G$10</xm:f>
          </x14:formula1>
          <xm:sqref>E11:F14</xm:sqref>
        </x14:dataValidation>
        <x14:dataValidation type="list" allowBlank="1" showInputMessage="1" showErrorMessage="1">
          <x14:formula1>
            <xm:f>DataValidation!$F$1:$F$5</xm:f>
          </x14:formula1>
          <xm:sqref>E15:F15</xm:sqref>
        </x14:dataValidation>
        <x14:dataValidation type="list" allowBlank="1" showInputMessage="1" showErrorMessage="1">
          <x14:formula1>
            <xm:f>DataValidation!$D$1:$D$2</xm:f>
          </x14:formula1>
          <xm:sqref>E22:F22</xm:sqref>
        </x14:dataValidation>
        <x14:dataValidation type="list" allowBlank="1" showInputMessage="1" showErrorMessage="1">
          <x14:formula1>
            <xm:f>DataValidation!$C$1:$C$3</xm:f>
          </x14:formula1>
          <xm:sqref>E24</xm:sqref>
        </x14:dataValidation>
        <x14:dataValidation type="list" allowBlank="1" showInputMessage="1" showErrorMessage="1">
          <x14:formula1>
            <xm:f>DataValidation!$A$1:$A$2</xm:f>
          </x14:formula1>
          <xm:sqref>E10:F10 E8:F8 E25 H25 H15:I15 K3:L3 H4:L4</xm:sqref>
        </x14:dataValidation>
        <x14:dataValidation type="list" allowBlank="1" showInputMessage="1" showErrorMessage="1">
          <x14:formula1>
            <xm:f>DataValidation!$H$1:$H$3</xm:f>
          </x14:formula1>
          <xm:sqref>K15:L15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="115" zoomScaleNormal="115" workbookViewId="0">
      <selection activeCell="R20" sqref="R20"/>
    </sheetView>
  </sheetViews>
  <sheetFormatPr defaultRowHeight="15.75" x14ac:dyDescent="0.25"/>
  <cols>
    <col min="1" max="1" width="16.28515625" customWidth="1"/>
    <col min="2" max="2" width="12.42578125" customWidth="1"/>
    <col min="3" max="3" width="2.85546875" customWidth="1"/>
    <col min="4" max="4" width="16.28515625" customWidth="1"/>
    <col min="5" max="5" width="12.42578125" customWidth="1"/>
    <col min="6" max="6" width="2.85546875" customWidth="1"/>
    <col min="7" max="7" width="22.140625" customWidth="1"/>
    <col min="8" max="8" width="17.42578125" customWidth="1"/>
    <col min="9" max="9" width="2.85546875" customWidth="1"/>
    <col min="10" max="10" width="12.85546875" bestFit="1" customWidth="1"/>
    <col min="11" max="11" width="10.140625" bestFit="1" customWidth="1"/>
    <col min="13" max="13" width="2.85546875" customWidth="1"/>
    <col min="14" max="14" width="12.85546875" bestFit="1" customWidth="1"/>
    <col min="15" max="15" width="10.140625" bestFit="1" customWidth="1"/>
    <col min="17" max="17" width="2.85546875" customWidth="1"/>
    <col min="18" max="18" width="33.42578125" bestFit="1" customWidth="1"/>
    <col min="19" max="19" width="10.28515625" bestFit="1" customWidth="1"/>
  </cols>
  <sheetData>
    <row r="1" spans="1:19" ht="16.5" thickBot="1" x14ac:dyDescent="0.3">
      <c r="A1" s="48" t="s">
        <v>97</v>
      </c>
      <c r="B1" s="48"/>
      <c r="D1" s="48" t="s">
        <v>104</v>
      </c>
      <c r="E1" s="48"/>
      <c r="G1" s="48" t="s">
        <v>60</v>
      </c>
      <c r="H1" s="48"/>
      <c r="J1" s="48" t="s">
        <v>121</v>
      </c>
      <c r="K1" s="48"/>
      <c r="L1" s="48"/>
      <c r="N1" s="48" t="s">
        <v>122</v>
      </c>
      <c r="O1" s="48"/>
      <c r="P1" s="48"/>
      <c r="R1" s="48" t="s">
        <v>111</v>
      </c>
      <c r="S1" s="48"/>
    </row>
    <row r="2" spans="1:19" ht="51.75" thickBot="1" x14ac:dyDescent="0.3">
      <c r="A2" s="44" t="s">
        <v>50</v>
      </c>
      <c r="B2" s="44" t="s">
        <v>0</v>
      </c>
      <c r="D2" s="44" t="s">
        <v>50</v>
      </c>
      <c r="E2" s="44" t="s">
        <v>0</v>
      </c>
      <c r="G2" s="44" t="s">
        <v>61</v>
      </c>
      <c r="H2" s="44" t="s">
        <v>72</v>
      </c>
      <c r="J2" s="44" t="s">
        <v>66</v>
      </c>
      <c r="K2" s="44" t="s">
        <v>73</v>
      </c>
      <c r="L2" s="44" t="s">
        <v>72</v>
      </c>
      <c r="N2" s="44" t="s">
        <v>66</v>
      </c>
      <c r="O2" s="44" t="s">
        <v>73</v>
      </c>
      <c r="P2" s="44" t="s">
        <v>72</v>
      </c>
      <c r="R2" s="44" t="s">
        <v>93</v>
      </c>
      <c r="S2" s="44" t="s">
        <v>72</v>
      </c>
    </row>
    <row r="3" spans="1:19" ht="16.5" thickBot="1" x14ac:dyDescent="0.3">
      <c r="A3" s="45">
        <v>140</v>
      </c>
      <c r="B3" s="46">
        <v>1.609</v>
      </c>
      <c r="D3" s="45">
        <v>140</v>
      </c>
      <c r="E3" s="46">
        <v>1.2909999999999999</v>
      </c>
      <c r="G3" s="45">
        <v>0</v>
      </c>
      <c r="H3" s="65">
        <v>1</v>
      </c>
      <c r="J3" s="70" t="s">
        <v>123</v>
      </c>
      <c r="K3" s="63">
        <v>0</v>
      </c>
      <c r="L3" s="63">
        <v>1.2110000000000001</v>
      </c>
      <c r="N3" s="70" t="s">
        <v>123</v>
      </c>
      <c r="O3" s="63">
        <v>0</v>
      </c>
      <c r="P3" s="63">
        <v>1.2110000000000001</v>
      </c>
      <c r="R3" s="110" t="s">
        <v>91</v>
      </c>
      <c r="S3" s="65">
        <v>1</v>
      </c>
    </row>
    <row r="4" spans="1:19" ht="16.5" thickBot="1" x14ac:dyDescent="0.3">
      <c r="A4" s="45">
        <v>200</v>
      </c>
      <c r="B4" s="46">
        <v>1.395</v>
      </c>
      <c r="D4" s="45">
        <v>200</v>
      </c>
      <c r="E4" s="46">
        <v>1.24</v>
      </c>
      <c r="G4" s="45">
        <v>1</v>
      </c>
      <c r="H4" s="64">
        <v>1.0449999999999999</v>
      </c>
      <c r="J4" s="70" t="s">
        <v>71</v>
      </c>
      <c r="K4" s="63">
        <v>0.61</v>
      </c>
      <c r="L4" s="69">
        <v>1.127</v>
      </c>
      <c r="N4" s="70" t="s">
        <v>71</v>
      </c>
      <c r="O4" s="63">
        <v>0.61</v>
      </c>
      <c r="P4" s="69">
        <v>1.1359999999999999</v>
      </c>
      <c r="R4" s="110" t="s">
        <v>92</v>
      </c>
      <c r="S4" s="65">
        <v>1</v>
      </c>
    </row>
    <row r="5" spans="1:19" ht="16.5" thickBot="1" x14ac:dyDescent="0.3">
      <c r="A5" s="45">
        <v>260</v>
      </c>
      <c r="B5" s="46">
        <v>1.2989999999999999</v>
      </c>
      <c r="D5" s="45">
        <v>260</v>
      </c>
      <c r="E5" s="46">
        <v>1.2050000000000001</v>
      </c>
      <c r="G5" s="45">
        <v>2</v>
      </c>
      <c r="H5" s="64">
        <v>1.093</v>
      </c>
      <c r="J5" s="70" t="s">
        <v>70</v>
      </c>
      <c r="K5" s="63">
        <v>0.91</v>
      </c>
      <c r="L5" s="63">
        <v>1.097</v>
      </c>
      <c r="N5" s="70" t="s">
        <v>70</v>
      </c>
      <c r="O5" s="63">
        <v>0.91</v>
      </c>
      <c r="P5" s="63">
        <v>1.1060000000000001</v>
      </c>
      <c r="R5" s="110" t="s">
        <v>84</v>
      </c>
      <c r="S5" s="65">
        <v>1</v>
      </c>
    </row>
    <row r="6" spans="1:19" ht="16.5" thickBot="1" x14ac:dyDescent="0.3">
      <c r="A6" s="45">
        <v>320</v>
      </c>
      <c r="B6" s="46">
        <v>1.236</v>
      </c>
      <c r="D6" s="45">
        <v>320</v>
      </c>
      <c r="E6" s="46">
        <v>1.173</v>
      </c>
      <c r="G6" s="45">
        <v>3</v>
      </c>
      <c r="H6" s="64">
        <v>1.1439999999999999</v>
      </c>
      <c r="J6" s="70" t="s">
        <v>69</v>
      </c>
      <c r="K6" s="63">
        <v>1.23</v>
      </c>
      <c r="L6" s="63">
        <v>1.0629999999999999</v>
      </c>
      <c r="N6" s="70" t="s">
        <v>69</v>
      </c>
      <c r="O6" s="63">
        <v>1.23</v>
      </c>
      <c r="P6" s="63">
        <v>1.077</v>
      </c>
      <c r="R6" s="110" t="s">
        <v>83</v>
      </c>
      <c r="S6" s="65">
        <v>1.044</v>
      </c>
    </row>
    <row r="7" spans="1:19" ht="16.5" thickBot="1" x14ac:dyDescent="0.3">
      <c r="A7" s="45">
        <v>380</v>
      </c>
      <c r="B7" s="46">
        <v>1.1950000000000001</v>
      </c>
      <c r="D7" s="45">
        <v>380</v>
      </c>
      <c r="E7" s="46">
        <v>1.151</v>
      </c>
      <c r="G7" s="45">
        <v>4</v>
      </c>
      <c r="H7" s="64">
        <v>1.1970000000000001</v>
      </c>
      <c r="J7" s="70" t="s">
        <v>68</v>
      </c>
      <c r="K7" s="63">
        <v>1.83</v>
      </c>
      <c r="L7" s="69">
        <v>1</v>
      </c>
      <c r="N7" s="70" t="s">
        <v>68</v>
      </c>
      <c r="O7" s="63">
        <v>1.83</v>
      </c>
      <c r="P7" s="63">
        <v>1.0169999999999999</v>
      </c>
      <c r="R7" s="110" t="s">
        <v>85</v>
      </c>
      <c r="S7" s="65">
        <v>1.1299999999999999</v>
      </c>
    </row>
    <row r="8" spans="1:19" ht="16.5" thickBot="1" x14ac:dyDescent="0.3">
      <c r="A8" s="45">
        <v>440</v>
      </c>
      <c r="B8" s="46">
        <v>1.1659999999999999</v>
      </c>
      <c r="D8" s="45">
        <v>440</v>
      </c>
      <c r="E8" s="46">
        <v>1.151</v>
      </c>
      <c r="G8" s="45">
        <v>5</v>
      </c>
      <c r="H8" s="64">
        <v>1.2529999999999999</v>
      </c>
      <c r="J8" s="70" t="s">
        <v>67</v>
      </c>
      <c r="K8" s="63">
        <v>2.44</v>
      </c>
      <c r="L8" s="69">
        <v>1</v>
      </c>
      <c r="N8" s="70" t="s">
        <v>67</v>
      </c>
      <c r="O8" s="63">
        <v>2.44</v>
      </c>
      <c r="P8" s="69">
        <v>1.0169999999999999</v>
      </c>
      <c r="R8" s="110" t="s">
        <v>86</v>
      </c>
      <c r="S8" s="65">
        <v>1.391</v>
      </c>
    </row>
    <row r="9" spans="1:19" ht="16.5" thickBot="1" x14ac:dyDescent="0.3">
      <c r="A9" s="45">
        <v>500</v>
      </c>
      <c r="B9" s="46">
        <v>1.1439999999999999</v>
      </c>
      <c r="D9" s="45">
        <v>500</v>
      </c>
      <c r="E9" s="46">
        <v>1.1060000000000001</v>
      </c>
      <c r="G9" s="45">
        <v>6</v>
      </c>
      <c r="H9" s="64">
        <v>1.3120000000000001</v>
      </c>
      <c r="R9" s="110" t="s">
        <v>87</v>
      </c>
      <c r="S9" s="65">
        <v>1</v>
      </c>
    </row>
    <row r="10" spans="1:19" ht="16.5" thickBot="1" x14ac:dyDescent="0.3">
      <c r="A10" s="45">
        <v>560</v>
      </c>
      <c r="B10" s="46">
        <v>1.1279999999999999</v>
      </c>
      <c r="D10" s="45">
        <v>560</v>
      </c>
      <c r="E10" s="46">
        <v>1.1060000000000001</v>
      </c>
      <c r="G10" s="45">
        <v>7</v>
      </c>
      <c r="H10" s="64">
        <v>1.3740000000000001</v>
      </c>
      <c r="R10" s="110" t="s">
        <v>88</v>
      </c>
      <c r="S10" s="65">
        <v>1.42</v>
      </c>
    </row>
    <row r="11" spans="1:19" ht="16.5" thickBot="1" x14ac:dyDescent="0.3">
      <c r="A11" s="45">
        <v>620</v>
      </c>
      <c r="B11" s="46">
        <v>1.115</v>
      </c>
      <c r="D11" s="45">
        <v>620</v>
      </c>
      <c r="E11" s="46">
        <v>1.0660000000000001</v>
      </c>
      <c r="G11" s="45">
        <v>8</v>
      </c>
      <c r="H11" s="64">
        <v>1.4390000000000001</v>
      </c>
      <c r="R11" s="110" t="s">
        <v>89</v>
      </c>
      <c r="S11" s="65">
        <v>1.5149999999999999</v>
      </c>
    </row>
    <row r="12" spans="1:19" ht="16.5" thickBot="1" x14ac:dyDescent="0.3">
      <c r="A12" s="45">
        <v>700</v>
      </c>
      <c r="B12" s="46">
        <v>1.101</v>
      </c>
      <c r="D12" s="45">
        <v>700</v>
      </c>
      <c r="E12" s="46">
        <v>1.0660000000000001</v>
      </c>
      <c r="G12" s="45">
        <v>9</v>
      </c>
      <c r="H12" s="64">
        <v>1.508</v>
      </c>
      <c r="R12" s="110" t="s">
        <v>90</v>
      </c>
      <c r="S12" s="65">
        <v>2.1779999999999999</v>
      </c>
    </row>
    <row r="13" spans="1:19" ht="16.5" thickBot="1" x14ac:dyDescent="0.3">
      <c r="A13" s="45">
        <v>800</v>
      </c>
      <c r="B13" s="46">
        <v>1.0880000000000001</v>
      </c>
      <c r="D13" s="45">
        <v>800</v>
      </c>
      <c r="E13" s="46">
        <v>1.0660000000000001</v>
      </c>
      <c r="G13" s="45">
        <v>10</v>
      </c>
      <c r="H13" s="64">
        <v>1.581</v>
      </c>
    </row>
    <row r="14" spans="1:19" ht="16.5" thickBot="1" x14ac:dyDescent="0.3">
      <c r="A14" s="45">
        <v>900</v>
      </c>
      <c r="B14" s="46">
        <v>1.077</v>
      </c>
      <c r="D14" s="45">
        <v>900</v>
      </c>
      <c r="E14" s="46">
        <v>1.032</v>
      </c>
      <c r="G14" s="45">
        <v>11</v>
      </c>
      <c r="H14" s="64">
        <v>1.6579999999999999</v>
      </c>
    </row>
    <row r="15" spans="1:19" ht="16.5" thickBot="1" x14ac:dyDescent="0.3">
      <c r="A15" s="45">
        <v>1000</v>
      </c>
      <c r="B15" s="46">
        <v>1.069</v>
      </c>
      <c r="D15" s="45">
        <v>1000</v>
      </c>
      <c r="E15" s="46">
        <v>1.032</v>
      </c>
      <c r="G15" s="45">
        <v>12</v>
      </c>
      <c r="H15" s="64">
        <v>1.7390000000000001</v>
      </c>
    </row>
    <row r="16" spans="1:19" ht="16.5" thickBot="1" x14ac:dyDescent="0.3">
      <c r="A16" s="45">
        <v>1100</v>
      </c>
      <c r="B16" s="46">
        <v>1.0629999999999999</v>
      </c>
      <c r="D16" s="45">
        <v>1100</v>
      </c>
      <c r="E16" s="46">
        <v>1.032</v>
      </c>
      <c r="G16" s="45">
        <v>13</v>
      </c>
      <c r="H16" s="64">
        <v>1.825</v>
      </c>
    </row>
    <row r="17" spans="1:16" ht="16.5" thickBot="1" x14ac:dyDescent="0.3">
      <c r="A17" s="45">
        <v>1200</v>
      </c>
      <c r="B17" s="46">
        <v>1.0569999999999999</v>
      </c>
      <c r="D17" s="45">
        <v>1200</v>
      </c>
      <c r="E17" s="46">
        <v>1.032</v>
      </c>
      <c r="G17" s="45">
        <v>14</v>
      </c>
      <c r="H17" s="64">
        <v>1.9159999999999999</v>
      </c>
    </row>
    <row r="18" spans="1:16" ht="16.5" thickBot="1" x14ac:dyDescent="0.3">
      <c r="A18" s="45">
        <v>1400</v>
      </c>
      <c r="B18" s="46">
        <v>1.0489999999999999</v>
      </c>
      <c r="D18" s="45">
        <v>1400</v>
      </c>
      <c r="E18" s="46">
        <v>1.032</v>
      </c>
      <c r="G18" s="45">
        <v>15</v>
      </c>
      <c r="H18" s="65">
        <v>2</v>
      </c>
      <c r="P18" s="250"/>
    </row>
    <row r="19" spans="1:16" ht="16.5" thickBot="1" x14ac:dyDescent="0.3">
      <c r="A19" s="45">
        <v>1600</v>
      </c>
      <c r="B19" s="46">
        <v>1.0429999999999999</v>
      </c>
      <c r="D19" s="45">
        <v>1600</v>
      </c>
      <c r="E19" s="46">
        <v>1.032</v>
      </c>
      <c r="J19" s="48" t="s">
        <v>126</v>
      </c>
      <c r="K19" s="48"/>
      <c r="L19" s="48"/>
      <c r="N19" s="48" t="s">
        <v>127</v>
      </c>
      <c r="O19" s="48"/>
      <c r="P19" s="48"/>
    </row>
    <row r="20" spans="1:16" ht="39" thickBot="1" x14ac:dyDescent="0.3">
      <c r="J20" s="44" t="s">
        <v>66</v>
      </c>
      <c r="K20" s="44" t="s">
        <v>73</v>
      </c>
      <c r="L20" s="44" t="s">
        <v>72</v>
      </c>
      <c r="N20" s="44" t="s">
        <v>66</v>
      </c>
      <c r="O20" s="44" t="s">
        <v>73</v>
      </c>
      <c r="P20" s="44" t="s">
        <v>72</v>
      </c>
    </row>
    <row r="21" spans="1:16" ht="16.5" thickBot="1" x14ac:dyDescent="0.3">
      <c r="J21" s="70" t="s">
        <v>123</v>
      </c>
      <c r="K21" s="63">
        <v>0</v>
      </c>
      <c r="L21" s="69">
        <v>1.18</v>
      </c>
      <c r="N21" s="70" t="s">
        <v>123</v>
      </c>
      <c r="O21" s="63">
        <v>0</v>
      </c>
      <c r="P21" s="69">
        <v>1.18</v>
      </c>
    </row>
    <row r="22" spans="1:16" ht="16.5" thickBot="1" x14ac:dyDescent="0.3">
      <c r="J22" s="70" t="s">
        <v>71</v>
      </c>
      <c r="K22" s="63">
        <v>0.61</v>
      </c>
      <c r="L22" s="69">
        <v>1.1299999999999999</v>
      </c>
      <c r="N22" s="70" t="s">
        <v>71</v>
      </c>
      <c r="O22" s="63">
        <v>0.61</v>
      </c>
      <c r="P22" s="69">
        <v>1.139</v>
      </c>
    </row>
    <row r="23" spans="1:16" ht="16.5" thickBot="1" x14ac:dyDescent="0.3">
      <c r="J23" s="70" t="s">
        <v>70</v>
      </c>
      <c r="K23" s="63">
        <v>0.91</v>
      </c>
      <c r="L23" s="69">
        <v>1.1100000000000001</v>
      </c>
      <c r="N23" s="70" t="s">
        <v>70</v>
      </c>
      <c r="O23" s="63">
        <v>0.91</v>
      </c>
      <c r="P23" s="63">
        <v>1.119</v>
      </c>
    </row>
    <row r="24" spans="1:16" ht="16.5" thickBot="1" x14ac:dyDescent="0.3">
      <c r="C24" s="47"/>
      <c r="F24" s="47"/>
      <c r="J24" s="70" t="s">
        <v>69</v>
      </c>
      <c r="K24" s="63">
        <v>1.23</v>
      </c>
      <c r="L24" s="69">
        <v>1.0900000000000001</v>
      </c>
      <c r="N24" s="70" t="s">
        <v>69</v>
      </c>
      <c r="O24" s="63">
        <v>1.23</v>
      </c>
      <c r="P24" s="63">
        <v>1.1040000000000001</v>
      </c>
    </row>
    <row r="25" spans="1:16" ht="16.5" thickBot="1" x14ac:dyDescent="0.3">
      <c r="J25" s="70" t="s">
        <v>68</v>
      </c>
      <c r="K25" s="63">
        <v>1.83</v>
      </c>
      <c r="L25" s="69">
        <v>1.04</v>
      </c>
      <c r="N25" s="70" t="s">
        <v>68</v>
      </c>
      <c r="O25" s="63">
        <v>1.83</v>
      </c>
      <c r="P25" s="63">
        <v>1.0580000000000001</v>
      </c>
    </row>
    <row r="26" spans="1:16" ht="16.5" thickBot="1" x14ac:dyDescent="0.3">
      <c r="J26" s="70" t="s">
        <v>67</v>
      </c>
      <c r="K26" s="63">
        <v>2.44</v>
      </c>
      <c r="L26" s="69">
        <v>1</v>
      </c>
      <c r="N26" s="70" t="s">
        <v>67</v>
      </c>
      <c r="O26" s="63">
        <v>2.44</v>
      </c>
      <c r="P26" s="69">
        <v>1.0249999999999999</v>
      </c>
    </row>
    <row r="40" spans="1:1" x14ac:dyDescent="0.25">
      <c r="A40" s="47"/>
    </row>
  </sheetData>
  <sortState ref="E3:E19">
    <sortCondition descending="1" ref="E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F30" sqref="F30"/>
    </sheetView>
  </sheetViews>
  <sheetFormatPr defaultRowHeight="15.75" x14ac:dyDescent="0.25"/>
  <cols>
    <col min="2" max="2" width="44.7109375" bestFit="1" customWidth="1"/>
    <col min="3" max="3" width="33.140625" bestFit="1" customWidth="1"/>
    <col min="5" max="5" width="33.28515625" bestFit="1" customWidth="1"/>
    <col min="6" max="6" width="49.140625" bestFit="1" customWidth="1"/>
    <col min="7" max="7" width="31.28515625" bestFit="1" customWidth="1"/>
    <col min="8" max="8" width="35.85546875" bestFit="1" customWidth="1"/>
  </cols>
  <sheetData>
    <row r="1" spans="1:8" x14ac:dyDescent="0.25">
      <c r="A1" t="s">
        <v>16</v>
      </c>
      <c r="B1" t="s">
        <v>20</v>
      </c>
      <c r="C1" t="s">
        <v>54</v>
      </c>
      <c r="D1" t="s">
        <v>63</v>
      </c>
      <c r="E1" t="s">
        <v>74</v>
      </c>
      <c r="F1" t="s">
        <v>77</v>
      </c>
      <c r="G1" t="s">
        <v>91</v>
      </c>
      <c r="H1" t="s">
        <v>137</v>
      </c>
    </row>
    <row r="2" spans="1:8" x14ac:dyDescent="0.25">
      <c r="A2" t="s">
        <v>17</v>
      </c>
      <c r="B2" t="s">
        <v>21</v>
      </c>
      <c r="C2" t="s">
        <v>55</v>
      </c>
      <c r="D2" t="s">
        <v>64</v>
      </c>
      <c r="E2" t="s">
        <v>75</v>
      </c>
      <c r="F2" t="s">
        <v>78</v>
      </c>
      <c r="G2" t="s">
        <v>92</v>
      </c>
      <c r="H2" t="s">
        <v>138</v>
      </c>
    </row>
    <row r="3" spans="1:8" x14ac:dyDescent="0.25">
      <c r="B3" t="s">
        <v>24</v>
      </c>
      <c r="C3" t="s">
        <v>56</v>
      </c>
      <c r="E3" t="s">
        <v>17</v>
      </c>
      <c r="F3" t="s">
        <v>79</v>
      </c>
      <c r="G3" t="s">
        <v>84</v>
      </c>
      <c r="H3" t="s">
        <v>139</v>
      </c>
    </row>
    <row r="4" spans="1:8" x14ac:dyDescent="0.25">
      <c r="B4" t="s">
        <v>22</v>
      </c>
      <c r="F4" t="s">
        <v>80</v>
      </c>
      <c r="G4" t="s">
        <v>83</v>
      </c>
    </row>
    <row r="5" spans="1:8" x14ac:dyDescent="0.25">
      <c r="B5" t="s">
        <v>23</v>
      </c>
      <c r="F5" t="s">
        <v>81</v>
      </c>
      <c r="G5" t="s">
        <v>85</v>
      </c>
    </row>
    <row r="6" spans="1:8" x14ac:dyDescent="0.25">
      <c r="G6" t="s">
        <v>86</v>
      </c>
    </row>
    <row r="7" spans="1:8" x14ac:dyDescent="0.25">
      <c r="G7" t="s">
        <v>87</v>
      </c>
    </row>
    <row r="8" spans="1:8" x14ac:dyDescent="0.25">
      <c r="G8" t="s">
        <v>88</v>
      </c>
    </row>
    <row r="9" spans="1:8" x14ac:dyDescent="0.25">
      <c r="G9" t="s">
        <v>89</v>
      </c>
    </row>
    <row r="10" spans="1:8" x14ac:dyDescent="0.25">
      <c r="G1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NWAproactive-RuralMotorway</vt:lpstr>
      <vt:lpstr>NWAproactive-UrbanMotorway</vt:lpstr>
      <vt:lpstr>NWAproactive-PrimaryUndivided</vt:lpstr>
      <vt:lpstr>NWAproactive-PrimaryDivided</vt:lpstr>
      <vt:lpstr>LookupTables</vt:lpstr>
      <vt:lpstr>DataValidation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Tassos Dragomanovits</dc:creator>
  <cp:lastModifiedBy>Tassos Dragomanovits</cp:lastModifiedBy>
  <dcterms:created xsi:type="dcterms:W3CDTF">2021-09-09T13:37:36Z</dcterms:created>
  <dcterms:modified xsi:type="dcterms:W3CDTF">2022-11-03T12:09:38Z</dcterms:modified>
</cp:coreProperties>
</file>